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95" yWindow="195" windowWidth="11520" windowHeight="12330"/>
  </bookViews>
  <sheets>
    <sheet name="MSU INC. - Acct Detail" sheetId="2" r:id="rId1"/>
    <sheet name="ADMINISTRATION - Acct Detail" sheetId="4" r:id="rId2"/>
    <sheet name="SCHEDULE A - Acct Detail" sheetId="6" r:id="rId3"/>
    <sheet name="UNION MARKET - Acct Detail" sheetId="8" r:id="rId4"/>
    <sheet name="UNDERGROUND - Acct Detail" sheetId="12" r:id="rId5"/>
    <sheet name="1280 - Acct Detail" sheetId="14" r:id="rId6"/>
    <sheet name="RENTAL INC - Acct Detail" sheetId="107" r:id="rId7"/>
    <sheet name="SCHEDULE B - Acct Detail" sheetId="20" r:id="rId8"/>
    <sheet name="CHILD CARE - Acct Detail" sheetId="22" r:id="rId9"/>
    <sheet name="SCHEDULE C - Acct Detail" sheetId="24" r:id="rId10"/>
    <sheet name="EFRT - Acct Detail" sheetId="26" r:id="rId11"/>
    <sheet name="MACCYCLE - Acct Detail" sheetId="28" r:id="rId12"/>
    <sheet name="SHEC - Acct Detail" sheetId="30" r:id="rId13"/>
    <sheet name="SWHAT - Acct Detail" sheetId="32" r:id="rId14"/>
    <sheet name="QSCC - Acct Detail" sheetId="34" r:id="rId15"/>
    <sheet name="MAROONS - Acct Detail" sheetId="36" r:id="rId16"/>
    <sheet name="CLAY - Acct Detail" sheetId="38" r:id="rId17"/>
    <sheet name="FIT - Acct Detail" sheetId="40" r:id="rId18"/>
    <sheet name="HORIZONS - Acct Detail" sheetId="44" r:id="rId19"/>
    <sheet name="SPARK - Acct Detail" sheetId="46" r:id="rId20"/>
    <sheet name="CLUBS - Acct Detail" sheetId="48" r:id="rId21"/>
    <sheet name="ELECTIONS - Acct Detail" sheetId="50" r:id="rId22"/>
    <sheet name="MACGREEN - Acct Detail" sheetId="52" r:id="rId23"/>
    <sheet name="EXECUTIVE - Acct Detail" sheetId="54" r:id="rId24"/>
    <sheet name="SCSN - Acct Detail" sheetId="56" r:id="rId25"/>
    <sheet name="WGEN - Acct Detail" sheetId="58" r:id="rId26"/>
    <sheet name="PUBLIC RELNS - Acct Detail" sheetId="60" r:id="rId27"/>
    <sheet name="TEACHING AWARDS - Acct Detail" sheetId="62" r:id="rId28"/>
    <sheet name="PEER SUPPORT - Acct Detail" sheetId="64" r:id="rId29"/>
    <sheet name="DIVERSITY - Acct Detail" sheetId="66" r:id="rId30"/>
    <sheet name="BREAD BIN - Acct Detail" sheetId="68" r:id="rId31"/>
    <sheet name="FYC - Acct Detail" sheetId="70" r:id="rId32"/>
    <sheet name="SCHEDULE D - Acct Detail" sheetId="72" r:id="rId33"/>
    <sheet name="COMPASS - Acct Detail" sheetId="74" r:id="rId34"/>
    <sheet name="OMBUDS - Acct Detail" sheetId="76" r:id="rId35"/>
    <sheet name="CAMPUS EVENTS - Acct Detail" sheetId="78" r:id="rId36"/>
    <sheet name="SILHOUETTE - Acct Detail" sheetId="80" r:id="rId37"/>
    <sheet name="CFMU GENERAL - Acct Detail" sheetId="84" r:id="rId38"/>
    <sheet name="MARMOR CURRENT - Acct Detail" sheetId="88" r:id="rId39"/>
    <sheet name="STU. HEALTH PLAN - Acct Detail" sheetId="90" r:id="rId40"/>
    <sheet name="SHP 2014-15 - Acct Detail" sheetId="92" r:id="rId41"/>
    <sheet name="SHP-INVEST - Acct Detail" sheetId="98" r:id="rId42"/>
    <sheet name="DENTAL PLAN - Acct Detail" sheetId="100" r:id="rId43"/>
    <sheet name="DENTAL CURRENT - Acct Detail" sheetId="102" r:id="rId44"/>
    <sheet name="UNI CENTRE - Acct Detail" sheetId="106" r:id="rId45"/>
  </sheets>
  <definedNames>
    <definedName name="_xlnm.Print_Area" localSheetId="30">'BREAD BIN - Acct Detail'!$A$1:$J$32</definedName>
    <definedName name="_xlnm.Print_Area" localSheetId="0">'MSU INC. - Acct Detail'!$A$1:$B$43</definedName>
  </definedNames>
  <calcPr calcId="125725"/>
</workbook>
</file>

<file path=xl/calcChain.xml><?xml version="1.0" encoding="utf-8"?>
<calcChain xmlns="http://schemas.openxmlformats.org/spreadsheetml/2006/main">
  <c r="B12" i="4"/>
  <c r="J12" s="1"/>
  <c r="C20" i="6"/>
  <c r="B35" i="4"/>
  <c r="J35" s="1"/>
  <c r="N12"/>
  <c r="K11" i="106"/>
  <c r="M12" i="4"/>
  <c r="L12" i="84"/>
  <c r="M12" i="88"/>
  <c r="I66" i="14"/>
  <c r="D22" i="24"/>
  <c r="F22" s="1"/>
  <c r="K22" s="1"/>
  <c r="E22"/>
  <c r="F33"/>
  <c r="B33"/>
  <c r="J33"/>
  <c r="F32"/>
  <c r="F31"/>
  <c r="F30"/>
  <c r="F29"/>
  <c r="K29" s="1"/>
  <c r="B29"/>
  <c r="J29" s="1"/>
  <c r="F28"/>
  <c r="F27"/>
  <c r="F26"/>
  <c r="B26"/>
  <c r="K26"/>
  <c r="J26"/>
  <c r="F25"/>
  <c r="F24"/>
  <c r="K24" s="1"/>
  <c r="F23"/>
  <c r="F21"/>
  <c r="K21" s="1"/>
  <c r="B21"/>
  <c r="F20"/>
  <c r="K20" s="1"/>
  <c r="K19"/>
  <c r="F18"/>
  <c r="F17"/>
  <c r="K17" s="1"/>
  <c r="B17"/>
  <c r="J17"/>
  <c r="F16"/>
  <c r="K16" s="1"/>
  <c r="F15"/>
  <c r="K15" s="1"/>
  <c r="B15"/>
  <c r="J15" s="1"/>
  <c r="F14"/>
  <c r="F13"/>
  <c r="B25" i="30"/>
  <c r="B13" i="24" s="1"/>
  <c r="F12"/>
  <c r="K12" s="1"/>
  <c r="B12"/>
  <c r="J12" s="1"/>
  <c r="F11"/>
  <c r="B11"/>
  <c r="J11"/>
  <c r="B53" i="12"/>
  <c r="B13" i="8"/>
  <c r="B31" i="14"/>
  <c r="L31"/>
  <c r="B30"/>
  <c r="L29"/>
  <c r="B28"/>
  <c r="B27"/>
  <c r="B26"/>
  <c r="L26"/>
  <c r="L25"/>
  <c r="B24"/>
  <c r="D11" i="2"/>
  <c r="E11"/>
  <c r="E11" i="6"/>
  <c r="E12"/>
  <c r="E13"/>
  <c r="E15"/>
  <c r="E24" s="1"/>
  <c r="E16"/>
  <c r="E17"/>
  <c r="F11"/>
  <c r="F12"/>
  <c r="F13"/>
  <c r="F15"/>
  <c r="F16"/>
  <c r="F17"/>
  <c r="D13" i="2"/>
  <c r="E13"/>
  <c r="D11" i="24"/>
  <c r="D12"/>
  <c r="D13"/>
  <c r="D14"/>
  <c r="D15"/>
  <c r="D16"/>
  <c r="D17"/>
  <c r="D18"/>
  <c r="D20"/>
  <c r="D21"/>
  <c r="D23"/>
  <c r="D24"/>
  <c r="D25"/>
  <c r="D26"/>
  <c r="D27"/>
  <c r="D28"/>
  <c r="D29"/>
  <c r="D30"/>
  <c r="D31"/>
  <c r="D32"/>
  <c r="D33"/>
  <c r="E11"/>
  <c r="E12"/>
  <c r="E13"/>
  <c r="E14"/>
  <c r="E15"/>
  <c r="E16"/>
  <c r="E17"/>
  <c r="E18"/>
  <c r="E20"/>
  <c r="E21"/>
  <c r="E23"/>
  <c r="E24"/>
  <c r="E25"/>
  <c r="E26"/>
  <c r="E27"/>
  <c r="E28"/>
  <c r="E29"/>
  <c r="E30"/>
  <c r="E31"/>
  <c r="E32"/>
  <c r="E33"/>
  <c r="D11" i="72"/>
  <c r="D12"/>
  <c r="D13"/>
  <c r="D16" s="1"/>
  <c r="D15" i="2" s="1"/>
  <c r="D14" i="72"/>
  <c r="E11"/>
  <c r="E12"/>
  <c r="E13"/>
  <c r="E16" s="1"/>
  <c r="E15" i="2" s="1"/>
  <c r="E14" i="72"/>
  <c r="B36" i="4"/>
  <c r="B13" i="92"/>
  <c r="B13" i="102"/>
  <c r="B15"/>
  <c r="B17" i="92"/>
  <c r="B72" i="78"/>
  <c r="B13" i="72"/>
  <c r="J13" s="1"/>
  <c r="B14" i="8"/>
  <c r="J33" i="84"/>
  <c r="B13" i="98"/>
  <c r="B12" i="90"/>
  <c r="B19" i="92"/>
  <c r="B11" i="90"/>
  <c r="J11" s="1"/>
  <c r="J17" i="92"/>
  <c r="D32"/>
  <c r="D31"/>
  <c r="F23"/>
  <c r="F22"/>
  <c r="E32"/>
  <c r="E31"/>
  <c r="B17" i="102"/>
  <c r="B11" i="100"/>
  <c r="B14" s="1"/>
  <c r="B14" i="106"/>
  <c r="J15" i="102"/>
  <c r="J14"/>
  <c r="J13"/>
  <c r="J12"/>
  <c r="B24" i="68"/>
  <c r="B32" i="24"/>
  <c r="J32" s="1"/>
  <c r="C17" i="6"/>
  <c r="C16"/>
  <c r="K16" s="1"/>
  <c r="C15"/>
  <c r="K15"/>
  <c r="B25" i="32"/>
  <c r="B14" i="24"/>
  <c r="J14" s="1"/>
  <c r="L30" i="14"/>
  <c r="L28"/>
  <c r="L27"/>
  <c r="B25" i="8"/>
  <c r="B31"/>
  <c r="C11" i="6"/>
  <c r="K11" s="1"/>
  <c r="J26" i="8"/>
  <c r="J25"/>
  <c r="J14"/>
  <c r="J13"/>
  <c r="J11"/>
  <c r="J42" i="4"/>
  <c r="J41"/>
  <c r="J36"/>
  <c r="J19"/>
  <c r="J18"/>
  <c r="J13"/>
  <c r="D11" i="100"/>
  <c r="D14"/>
  <c r="D19" i="2"/>
  <c r="D30" s="1"/>
  <c r="D11" i="90"/>
  <c r="D14" s="1"/>
  <c r="D18" i="2" s="1"/>
  <c r="D12" i="90"/>
  <c r="D17" i="2"/>
  <c r="D16"/>
  <c r="D28" s="1"/>
  <c r="D72" i="78"/>
  <c r="I59"/>
  <c r="I72"/>
  <c r="H59"/>
  <c r="H72"/>
  <c r="E59"/>
  <c r="E53"/>
  <c r="E40"/>
  <c r="E38"/>
  <c r="E36"/>
  <c r="E45" i="74"/>
  <c r="E44"/>
  <c r="E37"/>
  <c r="E33"/>
  <c r="E13" i="68"/>
  <c r="E21"/>
  <c r="E20"/>
  <c r="E18"/>
  <c r="E14"/>
  <c r="E12" i="64"/>
  <c r="E19" i="60"/>
  <c r="E18"/>
  <c r="E17" i="58"/>
  <c r="E16"/>
  <c r="E14"/>
  <c r="E13"/>
  <c r="E23" i="48"/>
  <c r="E22"/>
  <c r="E21"/>
  <c r="E20"/>
  <c r="E17" i="46"/>
  <c r="E16"/>
  <c r="E15"/>
  <c r="E14"/>
  <c r="E13"/>
  <c r="E22" i="30"/>
  <c r="E21"/>
  <c r="E29" i="26"/>
  <c r="E28"/>
  <c r="E23"/>
  <c r="E22"/>
  <c r="E20"/>
  <c r="E17"/>
  <c r="E48" i="4"/>
  <c r="E44"/>
  <c r="E43"/>
  <c r="E42"/>
  <c r="E41"/>
  <c r="E37"/>
  <c r="E34"/>
  <c r="E33"/>
  <c r="E32"/>
  <c r="E31"/>
  <c r="E30"/>
  <c r="E28"/>
  <c r="E27"/>
  <c r="E26"/>
  <c r="E25"/>
  <c r="E24"/>
  <c r="E23"/>
  <c r="E22"/>
  <c r="E21"/>
  <c r="J38" i="22"/>
  <c r="J35"/>
  <c r="J34"/>
  <c r="J33"/>
  <c r="J32"/>
  <c r="J31"/>
  <c r="J30"/>
  <c r="J29"/>
  <c r="J28"/>
  <c r="J27"/>
  <c r="J26"/>
  <c r="J25"/>
  <c r="J24"/>
  <c r="J23"/>
  <c r="J22"/>
  <c r="J21"/>
  <c r="J20"/>
  <c r="J19"/>
  <c r="J18"/>
  <c r="J17"/>
  <c r="J16"/>
  <c r="J15"/>
  <c r="J14"/>
  <c r="J13"/>
  <c r="J12"/>
  <c r="J11"/>
  <c r="B18" i="107"/>
  <c r="J18" s="1"/>
  <c r="J14"/>
  <c r="J13"/>
  <c r="J12"/>
  <c r="J11"/>
  <c r="J60" i="14"/>
  <c r="J57"/>
  <c r="J56"/>
  <c r="J55"/>
  <c r="J54"/>
  <c r="J53"/>
  <c r="J52"/>
  <c r="J51"/>
  <c r="J50"/>
  <c r="J49"/>
  <c r="J48"/>
  <c r="J47"/>
  <c r="J46"/>
  <c r="J45"/>
  <c r="J44"/>
  <c r="J43"/>
  <c r="J42"/>
  <c r="J41"/>
  <c r="J40"/>
  <c r="J39"/>
  <c r="J38"/>
  <c r="J37"/>
  <c r="J36"/>
  <c r="J35"/>
  <c r="J34"/>
  <c r="J33"/>
  <c r="J32"/>
  <c r="J30"/>
  <c r="J29"/>
  <c r="J28"/>
  <c r="J27"/>
  <c r="J25"/>
  <c r="J23"/>
  <c r="J22"/>
  <c r="J21"/>
  <c r="J20"/>
  <c r="J19"/>
  <c r="J18"/>
  <c r="J17"/>
  <c r="J16"/>
  <c r="J15"/>
  <c r="J14"/>
  <c r="J13"/>
  <c r="J12"/>
  <c r="J11"/>
  <c r="J60" i="12"/>
  <c r="J59"/>
  <c r="J58"/>
  <c r="J57"/>
  <c r="J56"/>
  <c r="J55"/>
  <c r="J53"/>
  <c r="J52"/>
  <c r="J51"/>
  <c r="J50"/>
  <c r="J49"/>
  <c r="J48"/>
  <c r="J43"/>
  <c r="J42"/>
  <c r="J41"/>
  <c r="J40"/>
  <c r="J39"/>
  <c r="J38"/>
  <c r="J37"/>
  <c r="J36"/>
  <c r="J35"/>
  <c r="J34"/>
  <c r="J33"/>
  <c r="J32"/>
  <c r="J31"/>
  <c r="J29"/>
  <c r="J28"/>
  <c r="J27"/>
  <c r="J26"/>
  <c r="J25"/>
  <c r="J24"/>
  <c r="J23"/>
  <c r="J22"/>
  <c r="J20"/>
  <c r="J19"/>
  <c r="J18"/>
  <c r="J17"/>
  <c r="J16"/>
  <c r="J15"/>
  <c r="J14"/>
  <c r="J13"/>
  <c r="J12"/>
  <c r="J11"/>
  <c r="J10"/>
  <c r="J9"/>
  <c r="J29" i="8"/>
  <c r="J27"/>
  <c r="J24"/>
  <c r="J23"/>
  <c r="J22"/>
  <c r="J21"/>
  <c r="J19"/>
  <c r="J18"/>
  <c r="J17"/>
  <c r="J16"/>
  <c r="J15"/>
  <c r="K17" i="6"/>
  <c r="J48" i="4"/>
  <c r="J47"/>
  <c r="J45"/>
  <c r="J44"/>
  <c r="J43"/>
  <c r="J40"/>
  <c r="J39"/>
  <c r="J38"/>
  <c r="J37"/>
  <c r="J34"/>
  <c r="J33"/>
  <c r="J32"/>
  <c r="J31"/>
  <c r="J30"/>
  <c r="J29"/>
  <c r="J28"/>
  <c r="J27"/>
  <c r="J26"/>
  <c r="J25"/>
  <c r="J24"/>
  <c r="J23"/>
  <c r="J22"/>
  <c r="J21"/>
  <c r="J20"/>
  <c r="J15"/>
  <c r="J14"/>
  <c r="J11"/>
  <c r="J12" i="106"/>
  <c r="J13" i="98"/>
  <c r="J11"/>
  <c r="J15" i="92"/>
  <c r="J13"/>
  <c r="J12" i="90"/>
  <c r="J22" i="88"/>
  <c r="J21"/>
  <c r="J20"/>
  <c r="J17"/>
  <c r="J15"/>
  <c r="J13"/>
  <c r="J12"/>
  <c r="J11"/>
  <c r="J39" i="84"/>
  <c r="J38"/>
  <c r="J37"/>
  <c r="J35"/>
  <c r="J34"/>
  <c r="J32"/>
  <c r="J31"/>
  <c r="J30"/>
  <c r="J29"/>
  <c r="J28"/>
  <c r="J27"/>
  <c r="J26"/>
  <c r="J25"/>
  <c r="J24"/>
  <c r="J23"/>
  <c r="J22"/>
  <c r="J21"/>
  <c r="J20"/>
  <c r="J19"/>
  <c r="J18"/>
  <c r="J17"/>
  <c r="J16"/>
  <c r="J15"/>
  <c r="J14"/>
  <c r="J12"/>
  <c r="J13"/>
  <c r="J11"/>
  <c r="J38" i="80"/>
  <c r="J35"/>
  <c r="J34"/>
  <c r="J33"/>
  <c r="J32"/>
  <c r="J31"/>
  <c r="J30"/>
  <c r="J29"/>
  <c r="J28"/>
  <c r="J27"/>
  <c r="J24"/>
  <c r="J23"/>
  <c r="J22"/>
  <c r="J21"/>
  <c r="J20"/>
  <c r="J19"/>
  <c r="J18"/>
  <c r="J17"/>
  <c r="J16"/>
  <c r="J15"/>
  <c r="J13"/>
  <c r="J11"/>
  <c r="J66" i="78"/>
  <c r="J64"/>
  <c r="J63"/>
  <c r="J62"/>
  <c r="J61"/>
  <c r="J60"/>
  <c r="J59"/>
  <c r="J57"/>
  <c r="J55"/>
  <c r="J54"/>
  <c r="J53"/>
  <c r="J52"/>
  <c r="J50"/>
  <c r="J49"/>
  <c r="J48"/>
  <c r="J47"/>
  <c r="J46"/>
  <c r="J45"/>
  <c r="J44"/>
  <c r="J43"/>
  <c r="J42"/>
  <c r="J41"/>
  <c r="J40"/>
  <c r="J39"/>
  <c r="J38"/>
  <c r="J36"/>
  <c r="J35"/>
  <c r="J34"/>
  <c r="J33"/>
  <c r="J32"/>
  <c r="J31"/>
  <c r="J30"/>
  <c r="J29"/>
  <c r="J28"/>
  <c r="J26"/>
  <c r="J25"/>
  <c r="J24"/>
  <c r="J23"/>
  <c r="J22"/>
  <c r="J21"/>
  <c r="J20"/>
  <c r="J19"/>
  <c r="J18"/>
  <c r="J16"/>
  <c r="J15"/>
  <c r="J14"/>
  <c r="J13"/>
  <c r="J12"/>
  <c r="J11"/>
  <c r="J24" i="76"/>
  <c r="J23"/>
  <c r="J22"/>
  <c r="J19"/>
  <c r="J18"/>
  <c r="J17"/>
  <c r="J16"/>
  <c r="J15"/>
  <c r="J14"/>
  <c r="J13"/>
  <c r="J12"/>
  <c r="J11"/>
  <c r="J49" i="74"/>
  <c r="J48"/>
  <c r="J47"/>
  <c r="J46"/>
  <c r="J45"/>
  <c r="J44"/>
  <c r="J43"/>
  <c r="J42"/>
  <c r="J41"/>
  <c r="J40"/>
  <c r="J39"/>
  <c r="J38"/>
  <c r="J37"/>
  <c r="J36"/>
  <c r="J35"/>
  <c r="J34"/>
  <c r="J33"/>
  <c r="J32"/>
  <c r="J31"/>
  <c r="J29"/>
  <c r="J28"/>
  <c r="J27"/>
  <c r="J25"/>
  <c r="J24"/>
  <c r="J22"/>
  <c r="J21"/>
  <c r="J20"/>
  <c r="J19"/>
  <c r="J18"/>
  <c r="J17"/>
  <c r="J16"/>
  <c r="J15"/>
  <c r="J13"/>
  <c r="J12"/>
  <c r="J11"/>
  <c r="J17" i="70"/>
  <c r="J12"/>
  <c r="J11"/>
  <c r="J16"/>
  <c r="J15"/>
  <c r="J14"/>
  <c r="J21" i="68"/>
  <c r="J20"/>
  <c r="J19"/>
  <c r="J18"/>
  <c r="J15"/>
  <c r="J14"/>
  <c r="J21" i="66"/>
  <c r="J20"/>
  <c r="J19"/>
  <c r="J18"/>
  <c r="J17"/>
  <c r="J16"/>
  <c r="J15"/>
  <c r="J14"/>
  <c r="J11"/>
  <c r="J11" i="64"/>
  <c r="J13" i="66"/>
  <c r="J12"/>
  <c r="B24" i="64"/>
  <c r="J24"/>
  <c r="J22"/>
  <c r="J21"/>
  <c r="J20"/>
  <c r="J19"/>
  <c r="J18"/>
  <c r="J16"/>
  <c r="J14"/>
  <c r="J13"/>
  <c r="J12"/>
  <c r="J17" i="62"/>
  <c r="J16"/>
  <c r="J15"/>
  <c r="J14"/>
  <c r="J13"/>
  <c r="J12"/>
  <c r="J28" i="60"/>
  <c r="J27"/>
  <c r="J26"/>
  <c r="J25"/>
  <c r="J24"/>
  <c r="J23"/>
  <c r="J22"/>
  <c r="J20"/>
  <c r="J19"/>
  <c r="J18"/>
  <c r="J17"/>
  <c r="J16"/>
  <c r="J15"/>
  <c r="J14"/>
  <c r="J13"/>
  <c r="J12"/>
  <c r="J17" i="58"/>
  <c r="J16"/>
  <c r="J15"/>
  <c r="J14"/>
  <c r="J13"/>
  <c r="J11"/>
  <c r="J12"/>
  <c r="J23" i="56"/>
  <c r="J22"/>
  <c r="J21"/>
  <c r="J20"/>
  <c r="J19"/>
  <c r="J18"/>
  <c r="J17"/>
  <c r="J12"/>
  <c r="J16"/>
  <c r="J15"/>
  <c r="J14"/>
  <c r="J49" i="54"/>
  <c r="J48"/>
  <c r="J47"/>
  <c r="J44"/>
  <c r="J43"/>
  <c r="J42"/>
  <c r="J41"/>
  <c r="J40"/>
  <c r="J39"/>
  <c r="J38"/>
  <c r="J37"/>
  <c r="J36"/>
  <c r="J34"/>
  <c r="J33"/>
  <c r="J32"/>
  <c r="J31"/>
  <c r="J30"/>
  <c r="J28"/>
  <c r="J27"/>
  <c r="J23"/>
  <c r="J21"/>
  <c r="J20"/>
  <c r="J19"/>
  <c r="J18"/>
  <c r="J17"/>
  <c r="J16"/>
  <c r="J15"/>
  <c r="J14"/>
  <c r="J13"/>
  <c r="J25" i="52"/>
  <c r="J24"/>
  <c r="J23"/>
  <c r="J22"/>
  <c r="J19"/>
  <c r="J18"/>
  <c r="J17"/>
  <c r="J16"/>
  <c r="J15"/>
  <c r="J14"/>
  <c r="J11"/>
  <c r="J13"/>
  <c r="J25" i="50"/>
  <c r="J24"/>
  <c r="J23"/>
  <c r="J21"/>
  <c r="J20"/>
  <c r="J19"/>
  <c r="J18"/>
  <c r="J16"/>
  <c r="J15"/>
  <c r="J14"/>
  <c r="J13"/>
  <c r="J12"/>
  <c r="J29" i="48"/>
  <c r="J28"/>
  <c r="J27"/>
  <c r="J26"/>
  <c r="J25"/>
  <c r="J24"/>
  <c r="J23"/>
  <c r="J22"/>
  <c r="J21"/>
  <c r="J20"/>
  <c r="J19"/>
  <c r="J18"/>
  <c r="J17"/>
  <c r="J16"/>
  <c r="J15"/>
  <c r="J12"/>
  <c r="J11"/>
  <c r="B31"/>
  <c r="B22" i="24"/>
  <c r="J17" i="46"/>
  <c r="J16"/>
  <c r="J15"/>
  <c r="J14"/>
  <c r="J13"/>
  <c r="J12"/>
  <c r="J11"/>
  <c r="J18" i="44"/>
  <c r="J17"/>
  <c r="J16"/>
  <c r="J15"/>
  <c r="J14"/>
  <c r="J13"/>
  <c r="J12"/>
  <c r="J11"/>
  <c r="J20" i="40"/>
  <c r="J19"/>
  <c r="J18"/>
  <c r="J17"/>
  <c r="J16"/>
  <c r="J15"/>
  <c r="J14"/>
  <c r="J12"/>
  <c r="J11"/>
  <c r="J20" i="38"/>
  <c r="J19"/>
  <c r="J18"/>
  <c r="J17"/>
  <c r="J16"/>
  <c r="J15"/>
  <c r="J13"/>
  <c r="J11"/>
  <c r="B26" i="36"/>
  <c r="B16" i="24"/>
  <c r="J24" i="36"/>
  <c r="J23"/>
  <c r="J22"/>
  <c r="J21"/>
  <c r="J20"/>
  <c r="J19"/>
  <c r="J18"/>
  <c r="J17"/>
  <c r="J16"/>
  <c r="J14"/>
  <c r="J13"/>
  <c r="J12"/>
  <c r="J11"/>
  <c r="J26" i="34"/>
  <c r="J25"/>
  <c r="J24"/>
  <c r="J23"/>
  <c r="J22"/>
  <c r="J21"/>
  <c r="J20"/>
  <c r="J19"/>
  <c r="J18"/>
  <c r="J17"/>
  <c r="J16"/>
  <c r="J15"/>
  <c r="J14"/>
  <c r="J11"/>
  <c r="J25" i="32"/>
  <c r="J23"/>
  <c r="J22"/>
  <c r="J21"/>
  <c r="J20"/>
  <c r="J19"/>
  <c r="J18"/>
  <c r="J17"/>
  <c r="J16"/>
  <c r="J14"/>
  <c r="J13"/>
  <c r="J12"/>
  <c r="J11"/>
  <c r="J23" i="30"/>
  <c r="J22"/>
  <c r="J21"/>
  <c r="J19"/>
  <c r="J18"/>
  <c r="J17"/>
  <c r="J16"/>
  <c r="J15"/>
  <c r="J12"/>
  <c r="J11"/>
  <c r="J23" i="28"/>
  <c r="J22"/>
  <c r="J21"/>
  <c r="J20"/>
  <c r="J19"/>
  <c r="J18"/>
  <c r="J14"/>
  <c r="J13"/>
  <c r="J11"/>
  <c r="J31" i="26"/>
  <c r="J29"/>
  <c r="J28"/>
  <c r="J27"/>
  <c r="J26"/>
  <c r="J25"/>
  <c r="J24"/>
  <c r="J23"/>
  <c r="J22"/>
  <c r="J21"/>
  <c r="J20"/>
  <c r="J19"/>
  <c r="J18"/>
  <c r="J17"/>
  <c r="J16"/>
  <c r="J15"/>
  <c r="J14"/>
  <c r="J13"/>
  <c r="J12"/>
  <c r="J11"/>
  <c r="I11" i="20"/>
  <c r="I13"/>
  <c r="H11"/>
  <c r="H13" s="1"/>
  <c r="G11"/>
  <c r="J11" s="1"/>
  <c r="E11"/>
  <c r="E13" s="1"/>
  <c r="I31" i="2"/>
  <c r="H31"/>
  <c r="G31"/>
  <c r="I30"/>
  <c r="H30"/>
  <c r="G30"/>
  <c r="I29"/>
  <c r="H29"/>
  <c r="G29"/>
  <c r="I28"/>
  <c r="H28"/>
  <c r="G28"/>
  <c r="H27"/>
  <c r="G27"/>
  <c r="I27"/>
  <c r="E11" i="102"/>
  <c r="E11" i="92"/>
  <c r="F11"/>
  <c r="E72" i="78"/>
  <c r="G26" i="76"/>
  <c r="I19"/>
  <c r="I26"/>
  <c r="H19"/>
  <c r="H26"/>
  <c r="E19" i="56"/>
  <c r="G16" i="6"/>
  <c r="G15"/>
  <c r="F18" i="107"/>
  <c r="F14"/>
  <c r="F13"/>
  <c r="F12"/>
  <c r="F11"/>
  <c r="E11"/>
  <c r="E13" i="12"/>
  <c r="E62"/>
  <c r="E9"/>
  <c r="E22"/>
  <c r="F22"/>
  <c r="E60" i="14"/>
  <c r="F61"/>
  <c r="F60"/>
  <c r="F59"/>
  <c r="F58"/>
  <c r="F63"/>
  <c r="G13" i="6"/>
  <c r="F57" i="14"/>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60" i="12"/>
  <c r="F59"/>
  <c r="F58"/>
  <c r="F57"/>
  <c r="F56"/>
  <c r="F55"/>
  <c r="F54"/>
  <c r="F53"/>
  <c r="F52"/>
  <c r="F51"/>
  <c r="F50"/>
  <c r="F49"/>
  <c r="F48"/>
  <c r="F47"/>
  <c r="F46"/>
  <c r="F45"/>
  <c r="F44"/>
  <c r="F43"/>
  <c r="F42"/>
  <c r="F41"/>
  <c r="F40"/>
  <c r="F39"/>
  <c r="F38"/>
  <c r="F37"/>
  <c r="F36"/>
  <c r="F35"/>
  <c r="F34"/>
  <c r="F33"/>
  <c r="F32"/>
  <c r="F31"/>
  <c r="F30"/>
  <c r="F29"/>
  <c r="F28"/>
  <c r="F27"/>
  <c r="F26"/>
  <c r="F25"/>
  <c r="F24"/>
  <c r="F23"/>
  <c r="F21"/>
  <c r="F20"/>
  <c r="F19"/>
  <c r="F18"/>
  <c r="F17"/>
  <c r="F16"/>
  <c r="F15"/>
  <c r="F14"/>
  <c r="F12"/>
  <c r="F11"/>
  <c r="F10"/>
  <c r="F9"/>
  <c r="F49" i="4"/>
  <c r="F48"/>
  <c r="F47"/>
  <c r="F46"/>
  <c r="F45"/>
  <c r="F44"/>
  <c r="F43"/>
  <c r="F42"/>
  <c r="F41"/>
  <c r="F40"/>
  <c r="F39"/>
  <c r="F38"/>
  <c r="F37"/>
  <c r="F36"/>
  <c r="F35"/>
  <c r="F34"/>
  <c r="F33"/>
  <c r="F32"/>
  <c r="F31"/>
  <c r="F30"/>
  <c r="F29"/>
  <c r="F28"/>
  <c r="F27"/>
  <c r="F26"/>
  <c r="F25"/>
  <c r="F24"/>
  <c r="F23"/>
  <c r="F22"/>
  <c r="F21"/>
  <c r="F20"/>
  <c r="F19"/>
  <c r="F18"/>
  <c r="F17"/>
  <c r="F16"/>
  <c r="F15"/>
  <c r="F14"/>
  <c r="F13"/>
  <c r="F12"/>
  <c r="F11"/>
  <c r="E11" i="40"/>
  <c r="F12" i="106"/>
  <c r="F14"/>
  <c r="F11"/>
  <c r="D14"/>
  <c r="D20" i="2"/>
  <c r="D15" i="102"/>
  <c r="F15"/>
  <c r="D13"/>
  <c r="F13"/>
  <c r="D12"/>
  <c r="F12"/>
  <c r="D11"/>
  <c r="F14"/>
  <c r="E18" i="100"/>
  <c r="F11" i="98"/>
  <c r="D13"/>
  <c r="D17" i="92"/>
  <c r="F17"/>
  <c r="D13"/>
  <c r="F13"/>
  <c r="D12"/>
  <c r="F12"/>
  <c r="D11"/>
  <c r="F16"/>
  <c r="F15"/>
  <c r="F14"/>
  <c r="E17" i="90"/>
  <c r="F22" i="88"/>
  <c r="F21"/>
  <c r="F20"/>
  <c r="F19"/>
  <c r="F18"/>
  <c r="F17"/>
  <c r="F16"/>
  <c r="F15"/>
  <c r="F14"/>
  <c r="F13"/>
  <c r="F12"/>
  <c r="F11"/>
  <c r="D24"/>
  <c r="E43" i="84"/>
  <c r="F39"/>
  <c r="F38"/>
  <c r="F37"/>
  <c r="F36"/>
  <c r="F35"/>
  <c r="F34"/>
  <c r="F33"/>
  <c r="F32"/>
  <c r="F31"/>
  <c r="F30"/>
  <c r="F29"/>
  <c r="F28"/>
  <c r="F27"/>
  <c r="F26"/>
  <c r="F25"/>
  <c r="F24"/>
  <c r="F23"/>
  <c r="F22"/>
  <c r="F21"/>
  <c r="F20"/>
  <c r="F19"/>
  <c r="F18"/>
  <c r="F17"/>
  <c r="F16"/>
  <c r="F15"/>
  <c r="F14"/>
  <c r="F13"/>
  <c r="F12"/>
  <c r="F11"/>
  <c r="D41"/>
  <c r="F39" i="80"/>
  <c r="F38"/>
  <c r="F37"/>
  <c r="F36"/>
  <c r="F35"/>
  <c r="F34"/>
  <c r="F33"/>
  <c r="F32"/>
  <c r="F31"/>
  <c r="F30"/>
  <c r="F29"/>
  <c r="F28"/>
  <c r="F27"/>
  <c r="F26"/>
  <c r="F25"/>
  <c r="F24"/>
  <c r="F23"/>
  <c r="F22"/>
  <c r="F21"/>
  <c r="F20"/>
  <c r="F19"/>
  <c r="F18"/>
  <c r="F17"/>
  <c r="F16"/>
  <c r="F15"/>
  <c r="F14"/>
  <c r="F13"/>
  <c r="F12"/>
  <c r="F11"/>
  <c r="D41"/>
  <c r="F67" i="78"/>
  <c r="F66"/>
  <c r="F65"/>
  <c r="F64"/>
  <c r="F63"/>
  <c r="F62"/>
  <c r="F61"/>
  <c r="F60"/>
  <c r="F59"/>
  <c r="F58"/>
  <c r="F57"/>
  <c r="F56"/>
  <c r="F55"/>
  <c r="F54"/>
  <c r="F53"/>
  <c r="F52"/>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24" i="76"/>
  <c r="F23"/>
  <c r="F22"/>
  <c r="F19"/>
  <c r="F18"/>
  <c r="F17"/>
  <c r="F16"/>
  <c r="F15"/>
  <c r="F14"/>
  <c r="F13"/>
  <c r="F12"/>
  <c r="F11"/>
  <c r="F26"/>
  <c r="F12" i="72"/>
  <c r="F11"/>
  <c r="F16" s="1"/>
  <c r="F13"/>
  <c r="F14"/>
  <c r="D26" i="76"/>
  <c r="E54" i="74"/>
  <c r="F49"/>
  <c r="F48"/>
  <c r="F47"/>
  <c r="F46"/>
  <c r="F45"/>
  <c r="F44"/>
  <c r="F43"/>
  <c r="F42"/>
  <c r="F41"/>
  <c r="F40"/>
  <c r="F39"/>
  <c r="F38"/>
  <c r="F37"/>
  <c r="F36"/>
  <c r="F35"/>
  <c r="F34"/>
  <c r="F33"/>
  <c r="F32"/>
  <c r="F31"/>
  <c r="F30"/>
  <c r="F29"/>
  <c r="F28"/>
  <c r="F26"/>
  <c r="F25"/>
  <c r="F24"/>
  <c r="F23"/>
  <c r="F22"/>
  <c r="F21"/>
  <c r="F20"/>
  <c r="F19"/>
  <c r="F18"/>
  <c r="F17"/>
  <c r="F16"/>
  <c r="F15"/>
  <c r="F14"/>
  <c r="F13"/>
  <c r="F12"/>
  <c r="F11"/>
  <c r="F17" i="70"/>
  <c r="F16"/>
  <c r="F15"/>
  <c r="F14"/>
  <c r="F13"/>
  <c r="F12"/>
  <c r="F11"/>
  <c r="D19"/>
  <c r="F22" i="68"/>
  <c r="E24"/>
  <c r="D24"/>
  <c r="F21"/>
  <c r="F20"/>
  <c r="F19"/>
  <c r="F18"/>
  <c r="F15"/>
  <c r="F14"/>
  <c r="F24"/>
  <c r="F13"/>
  <c r="F11"/>
  <c r="F21" i="66"/>
  <c r="F20"/>
  <c r="F19"/>
  <c r="F18"/>
  <c r="F17"/>
  <c r="F23"/>
  <c r="F16"/>
  <c r="F15"/>
  <c r="F14"/>
  <c r="F13"/>
  <c r="F12"/>
  <c r="F11"/>
  <c r="D23"/>
  <c r="F22" i="64"/>
  <c r="F21"/>
  <c r="F20"/>
  <c r="F19"/>
  <c r="F18"/>
  <c r="F16"/>
  <c r="F14"/>
  <c r="F13"/>
  <c r="F12"/>
  <c r="F11"/>
  <c r="D24"/>
  <c r="F17" i="62"/>
  <c r="F16"/>
  <c r="F15"/>
  <c r="F14"/>
  <c r="F13"/>
  <c r="F12"/>
  <c r="F11"/>
  <c r="F19"/>
  <c r="D19"/>
  <c r="F28" i="60"/>
  <c r="F27"/>
  <c r="F26"/>
  <c r="F25"/>
  <c r="F24"/>
  <c r="F23"/>
  <c r="F22"/>
  <c r="F20"/>
  <c r="F19"/>
  <c r="F18"/>
  <c r="F17"/>
  <c r="F16"/>
  <c r="F15"/>
  <c r="F14"/>
  <c r="F13"/>
  <c r="F12"/>
  <c r="F11"/>
  <c r="D30"/>
  <c r="F17" i="58"/>
  <c r="F16"/>
  <c r="F15"/>
  <c r="F14"/>
  <c r="F13"/>
  <c r="F12"/>
  <c r="F11"/>
  <c r="F19"/>
  <c r="D19"/>
  <c r="F23" i="56"/>
  <c r="F22"/>
  <c r="F21"/>
  <c r="F20"/>
  <c r="F19"/>
  <c r="F18"/>
  <c r="F17"/>
  <c r="F16"/>
  <c r="F15"/>
  <c r="F14"/>
  <c r="F13"/>
  <c r="F12"/>
  <c r="F11"/>
  <c r="D25"/>
  <c r="D52" i="54"/>
  <c r="D17" i="102"/>
  <c r="F11"/>
  <c r="F17"/>
  <c r="F11" i="100"/>
  <c r="F14" s="1"/>
  <c r="D19" i="92"/>
  <c r="D51" i="74"/>
  <c r="F27"/>
  <c r="F50" i="54"/>
  <c r="F49"/>
  <c r="F48"/>
  <c r="F47"/>
  <c r="F46"/>
  <c r="F45"/>
  <c r="F44"/>
  <c r="F43"/>
  <c r="F42"/>
  <c r="F41"/>
  <c r="F40"/>
  <c r="F39"/>
  <c r="F38"/>
  <c r="F37"/>
  <c r="F36"/>
  <c r="F35"/>
  <c r="F34"/>
  <c r="F33"/>
  <c r="F32"/>
  <c r="F31"/>
  <c r="F30"/>
  <c r="F29"/>
  <c r="F28"/>
  <c r="F27"/>
  <c r="F26"/>
  <c r="F25"/>
  <c r="F24"/>
  <c r="F23"/>
  <c r="F22"/>
  <c r="F21"/>
  <c r="F20"/>
  <c r="F19"/>
  <c r="F18"/>
  <c r="F17"/>
  <c r="F16"/>
  <c r="F15"/>
  <c r="F14"/>
  <c r="F13"/>
  <c r="F52"/>
  <c r="F12"/>
  <c r="F11"/>
  <c r="F25" i="52"/>
  <c r="F24"/>
  <c r="F23"/>
  <c r="F22"/>
  <c r="F21"/>
  <c r="F20"/>
  <c r="F27"/>
  <c r="F19"/>
  <c r="F18"/>
  <c r="F17"/>
  <c r="F16"/>
  <c r="F15"/>
  <c r="F14"/>
  <c r="F13"/>
  <c r="F12"/>
  <c r="F11"/>
  <c r="D27"/>
  <c r="F25" i="50"/>
  <c r="F24"/>
  <c r="F23"/>
  <c r="F22"/>
  <c r="F21"/>
  <c r="F20"/>
  <c r="F19"/>
  <c r="F18"/>
  <c r="F17"/>
  <c r="F16"/>
  <c r="F15"/>
  <c r="F14"/>
  <c r="F13"/>
  <c r="F27"/>
  <c r="F12"/>
  <c r="F11"/>
  <c r="D27"/>
  <c r="F29" i="48"/>
  <c r="F28"/>
  <c r="F27"/>
  <c r="F26"/>
  <c r="F25"/>
  <c r="F24"/>
  <c r="F23"/>
  <c r="F22"/>
  <c r="F21"/>
  <c r="F20"/>
  <c r="F19"/>
  <c r="F18"/>
  <c r="F17"/>
  <c r="F16"/>
  <c r="F31"/>
  <c r="F15"/>
  <c r="F14"/>
  <c r="F13"/>
  <c r="F12"/>
  <c r="F11"/>
  <c r="D31"/>
  <c r="F17" i="46"/>
  <c r="F16"/>
  <c r="F14"/>
  <c r="F13"/>
  <c r="F15"/>
  <c r="F12"/>
  <c r="F11"/>
  <c r="F19"/>
  <c r="D19"/>
  <c r="D21" i="44"/>
  <c r="F20" i="40"/>
  <c r="F19"/>
  <c r="F18"/>
  <c r="F17"/>
  <c r="F16"/>
  <c r="F15"/>
  <c r="F14"/>
  <c r="F13"/>
  <c r="F12"/>
  <c r="F11"/>
  <c r="D22"/>
  <c r="F22" i="38"/>
  <c r="F20"/>
  <c r="F19"/>
  <c r="F18"/>
  <c r="F17"/>
  <c r="F16"/>
  <c r="F15"/>
  <c r="F14"/>
  <c r="F13"/>
  <c r="F12"/>
  <c r="F11"/>
  <c r="D22"/>
  <c r="F24" i="36"/>
  <c r="F23"/>
  <c r="F22"/>
  <c r="F21"/>
  <c r="F20"/>
  <c r="F19"/>
  <c r="F18"/>
  <c r="F17"/>
  <c r="F16"/>
  <c r="F15"/>
  <c r="F14"/>
  <c r="F13"/>
  <c r="F12"/>
  <c r="F11"/>
  <c r="D26"/>
  <c r="F26" i="34"/>
  <c r="F25"/>
  <c r="F24"/>
  <c r="F23"/>
  <c r="F22"/>
  <c r="F21"/>
  <c r="F20"/>
  <c r="F19"/>
  <c r="F18"/>
  <c r="F17"/>
  <c r="F16"/>
  <c r="F15"/>
  <c r="F14"/>
  <c r="F13"/>
  <c r="F12"/>
  <c r="F11"/>
  <c r="D28"/>
  <c r="F23" i="32"/>
  <c r="F22"/>
  <c r="F21"/>
  <c r="F20"/>
  <c r="F19"/>
  <c r="F18"/>
  <c r="F17"/>
  <c r="F16"/>
  <c r="F15"/>
  <c r="F14"/>
  <c r="F13"/>
  <c r="F12"/>
  <c r="F11"/>
  <c r="F25"/>
  <c r="D25"/>
  <c r="F23" i="30"/>
  <c r="F22"/>
  <c r="F21"/>
  <c r="F20"/>
  <c r="F19"/>
  <c r="F18"/>
  <c r="F17"/>
  <c r="F16"/>
  <c r="F15"/>
  <c r="F14"/>
  <c r="F13"/>
  <c r="F12"/>
  <c r="F11"/>
  <c r="F25"/>
  <c r="D25"/>
  <c r="F24" i="28"/>
  <c r="F23"/>
  <c r="F22"/>
  <c r="F21"/>
  <c r="F20"/>
  <c r="F19"/>
  <c r="F18"/>
  <c r="F17"/>
  <c r="F16"/>
  <c r="F15"/>
  <c r="F14"/>
  <c r="F13"/>
  <c r="F12"/>
  <c r="F11"/>
  <c r="D26"/>
  <c r="F31" i="26"/>
  <c r="F30"/>
  <c r="F29"/>
  <c r="F28"/>
  <c r="F27"/>
  <c r="F26"/>
  <c r="F25"/>
  <c r="F24"/>
  <c r="F23"/>
  <c r="F22"/>
  <c r="F21"/>
  <c r="F20"/>
  <c r="F19"/>
  <c r="F18"/>
  <c r="F17"/>
  <c r="F16"/>
  <c r="F15"/>
  <c r="F14"/>
  <c r="F13"/>
  <c r="F12"/>
  <c r="F11"/>
  <c r="D34"/>
  <c r="F38" i="22"/>
  <c r="F37"/>
  <c r="F36"/>
  <c r="F35"/>
  <c r="F34"/>
  <c r="F33"/>
  <c r="F32"/>
  <c r="F31"/>
  <c r="F30"/>
  <c r="F29"/>
  <c r="F28"/>
  <c r="F27"/>
  <c r="F26"/>
  <c r="F25"/>
  <c r="F24"/>
  <c r="F23"/>
  <c r="F22"/>
  <c r="F21"/>
  <c r="F20"/>
  <c r="F19"/>
  <c r="F18"/>
  <c r="F17"/>
  <c r="F16"/>
  <c r="F15"/>
  <c r="F14"/>
  <c r="F13"/>
  <c r="F12"/>
  <c r="F11"/>
  <c r="F40"/>
  <c r="F11" i="20"/>
  <c r="F13"/>
  <c r="D40" i="22"/>
  <c r="D11" i="20"/>
  <c r="D13"/>
  <c r="D18" i="107"/>
  <c r="D28" i="14"/>
  <c r="D26"/>
  <c r="D63"/>
  <c r="D62" i="12"/>
  <c r="G17" i="6"/>
  <c r="F29" i="8"/>
  <c r="F28"/>
  <c r="F27"/>
  <c r="F26"/>
  <c r="F25"/>
  <c r="F24"/>
  <c r="F23"/>
  <c r="F22"/>
  <c r="F21"/>
  <c r="F20"/>
  <c r="F19"/>
  <c r="F18"/>
  <c r="F17"/>
  <c r="F16"/>
  <c r="F15"/>
  <c r="F14"/>
  <c r="F13"/>
  <c r="F12"/>
  <c r="F11"/>
  <c r="D31"/>
  <c r="D51" i="4"/>
  <c r="E17" i="2"/>
  <c r="E31" i="8"/>
  <c r="E19" i="76"/>
  <c r="E26"/>
  <c r="F28" i="34"/>
  <c r="E14" i="106"/>
  <c r="E20" i="2"/>
  <c r="E31" s="1"/>
  <c r="E17" i="102"/>
  <c r="E11" i="100"/>
  <c r="E14" s="1"/>
  <c r="E19" i="2" s="1"/>
  <c r="E30" s="1"/>
  <c r="E13" i="98"/>
  <c r="E12" i="90"/>
  <c r="E24" i="88"/>
  <c r="E41" i="84"/>
  <c r="E16" i="2"/>
  <c r="E28" s="1"/>
  <c r="E41" i="80"/>
  <c r="E51" i="74"/>
  <c r="E19" i="70"/>
  <c r="E23" i="66"/>
  <c r="E24" i="64"/>
  <c r="E19" i="62"/>
  <c r="E30" i="60"/>
  <c r="E19" i="58"/>
  <c r="E25" i="56"/>
  <c r="E52" i="54"/>
  <c r="E27" i="52"/>
  <c r="E27" i="50"/>
  <c r="E31" i="48"/>
  <c r="E19" i="46"/>
  <c r="F19" i="44"/>
  <c r="F18"/>
  <c r="F17"/>
  <c r="F16"/>
  <c r="F15"/>
  <c r="F14"/>
  <c r="F13"/>
  <c r="F12"/>
  <c r="F11"/>
  <c r="E21"/>
  <c r="E22" i="40"/>
  <c r="E22" i="38"/>
  <c r="E26" i="36"/>
  <c r="E28" i="34"/>
  <c r="E25" i="32"/>
  <c r="E25" i="30"/>
  <c r="E26" i="28"/>
  <c r="E34" i="26"/>
  <c r="E40" i="22"/>
  <c r="E63" i="14"/>
  <c r="E18" i="107"/>
  <c r="E51" i="4"/>
  <c r="F19" i="70"/>
  <c r="F30" i="60"/>
  <c r="F41" i="80"/>
  <c r="F24" i="88"/>
  <c r="F41" i="84"/>
  <c r="F68" i="92"/>
  <c r="F67"/>
  <c r="G67"/>
  <c r="F66"/>
  <c r="F67" i="102"/>
  <c r="F66"/>
  <c r="F65"/>
  <c r="F75"/>
  <c r="F73"/>
  <c r="H73"/>
  <c r="F72"/>
  <c r="H72"/>
  <c r="F71"/>
  <c r="H71"/>
  <c r="F76" i="92"/>
  <c r="F74"/>
  <c r="H74"/>
  <c r="F73"/>
  <c r="H73"/>
  <c r="F72"/>
  <c r="H72"/>
  <c r="D67" i="102"/>
  <c r="B67"/>
  <c r="G66"/>
  <c r="H59"/>
  <c r="G59"/>
  <c r="I59"/>
  <c r="I52"/>
  <c r="I41"/>
  <c r="H41"/>
  <c r="B41"/>
  <c r="B40"/>
  <c r="H40"/>
  <c r="I39"/>
  <c r="G39"/>
  <c r="B39"/>
  <c r="H38"/>
  <c r="I38"/>
  <c r="B38"/>
  <c r="H37"/>
  <c r="H42"/>
  <c r="G37"/>
  <c r="I37"/>
  <c r="B37"/>
  <c r="I36"/>
  <c r="G36"/>
  <c r="B31"/>
  <c r="I30"/>
  <c r="H30"/>
  <c r="B30"/>
  <c r="I29"/>
  <c r="H29"/>
  <c r="G29"/>
  <c r="B29"/>
  <c r="I28"/>
  <c r="G28"/>
  <c r="B28"/>
  <c r="I27"/>
  <c r="H27"/>
  <c r="B27"/>
  <c r="G26"/>
  <c r="I26"/>
  <c r="B26"/>
  <c r="H26"/>
  <c r="H31"/>
  <c r="I25"/>
  <c r="G25"/>
  <c r="G31"/>
  <c r="B25"/>
  <c r="I53" i="92"/>
  <c r="H57"/>
  <c r="H59"/>
  <c r="G57"/>
  <c r="G59"/>
  <c r="H50"/>
  <c r="H51"/>
  <c r="G50"/>
  <c r="H42"/>
  <c r="I42"/>
  <c r="H41"/>
  <c r="G41"/>
  <c r="G40"/>
  <c r="I40"/>
  <c r="H39"/>
  <c r="I39"/>
  <c r="H38"/>
  <c r="G38"/>
  <c r="I38"/>
  <c r="G37"/>
  <c r="H31"/>
  <c r="H30"/>
  <c r="I30"/>
  <c r="G30"/>
  <c r="G29"/>
  <c r="I29"/>
  <c r="H28"/>
  <c r="H27"/>
  <c r="G27"/>
  <c r="G26"/>
  <c r="I26"/>
  <c r="D68"/>
  <c r="G58"/>
  <c r="I37"/>
  <c r="I31"/>
  <c r="I28"/>
  <c r="I27"/>
  <c r="B68"/>
  <c r="B42"/>
  <c r="B41"/>
  <c r="B40"/>
  <c r="B39"/>
  <c r="B43"/>
  <c r="B38"/>
  <c r="B31"/>
  <c r="B30"/>
  <c r="B29"/>
  <c r="B28"/>
  <c r="B27"/>
  <c r="B26"/>
  <c r="B32"/>
  <c r="B46"/>
  <c r="B50"/>
  <c r="B57"/>
  <c r="F13" i="98"/>
  <c r="F12" i="90"/>
  <c r="B24" i="88"/>
  <c r="J24"/>
  <c r="B41" i="80"/>
  <c r="J41" s="1"/>
  <c r="B26" i="76"/>
  <c r="B12" i="72"/>
  <c r="J12" s="1"/>
  <c r="B51" i="74"/>
  <c r="B11" i="72"/>
  <c r="J11"/>
  <c r="B19" i="70"/>
  <c r="J19"/>
  <c r="B23" i="66"/>
  <c r="J23" s="1"/>
  <c r="B19" i="62"/>
  <c r="B30" i="60"/>
  <c r="J30" s="1"/>
  <c r="B19" i="58"/>
  <c r="B27" i="24" s="1"/>
  <c r="J27" s="1"/>
  <c r="B25" i="56"/>
  <c r="B52" i="54"/>
  <c r="B25" i="24"/>
  <c r="J25" s="1"/>
  <c r="B27" i="52"/>
  <c r="B24" i="24"/>
  <c r="J24" s="1"/>
  <c r="B27" i="50"/>
  <c r="B23" i="24"/>
  <c r="J23" s="1"/>
  <c r="B19" i="46"/>
  <c r="J21" i="24"/>
  <c r="B21" i="44"/>
  <c r="B20" i="24"/>
  <c r="B22" i="40"/>
  <c r="J22" s="1"/>
  <c r="B22" i="38"/>
  <c r="B28" i="34"/>
  <c r="F26" i="28"/>
  <c r="B26"/>
  <c r="B34" i="26"/>
  <c r="B40" i="22"/>
  <c r="B11" i="20"/>
  <c r="B13"/>
  <c r="B13" i="2" s="1"/>
  <c r="J13" s="1"/>
  <c r="B62" i="12"/>
  <c r="J62"/>
  <c r="H17" i="92"/>
  <c r="H11"/>
  <c r="I13"/>
  <c r="I11"/>
  <c r="I17"/>
  <c r="I15"/>
  <c r="H15" i="102"/>
  <c r="I15"/>
  <c r="I14"/>
  <c r="I13"/>
  <c r="I11"/>
  <c r="I21" i="107"/>
  <c r="F25" i="56"/>
  <c r="F26" i="36"/>
  <c r="H45" i="102"/>
  <c r="I31"/>
  <c r="B45"/>
  <c r="B49"/>
  <c r="G40"/>
  <c r="B42"/>
  <c r="H60" i="92"/>
  <c r="H61"/>
  <c r="H58"/>
  <c r="I57"/>
  <c r="I50"/>
  <c r="G52"/>
  <c r="I41"/>
  <c r="G43"/>
  <c r="H32"/>
  <c r="G32"/>
  <c r="I32"/>
  <c r="I43"/>
  <c r="G46"/>
  <c r="I58"/>
  <c r="G61"/>
  <c r="G60"/>
  <c r="H52"/>
  <c r="H54"/>
  <c r="I59"/>
  <c r="H43"/>
  <c r="H46"/>
  <c r="G51"/>
  <c r="B56" i="102"/>
  <c r="G49"/>
  <c r="H49"/>
  <c r="G42"/>
  <c r="G45"/>
  <c r="I40"/>
  <c r="I42"/>
  <c r="I45"/>
  <c r="I60" i="92"/>
  <c r="I61"/>
  <c r="I52"/>
  <c r="I46"/>
  <c r="I51"/>
  <c r="G54"/>
  <c r="G56" i="102"/>
  <c r="H56"/>
  <c r="I49"/>
  <c r="G50"/>
  <c r="G51"/>
  <c r="I51"/>
  <c r="H51"/>
  <c r="H50"/>
  <c r="I54" i="92"/>
  <c r="G53" i="102"/>
  <c r="I50"/>
  <c r="I53"/>
  <c r="I56"/>
  <c r="G58"/>
  <c r="I58"/>
  <c r="G57"/>
  <c r="H57"/>
  <c r="H60"/>
  <c r="H58"/>
  <c r="H53"/>
  <c r="G60"/>
  <c r="I57"/>
  <c r="I60"/>
  <c r="F21" i="44"/>
  <c r="F22" i="40"/>
  <c r="F13" i="12"/>
  <c r="F62"/>
  <c r="G12" i="6"/>
  <c r="F19" i="102"/>
  <c r="F21" i="92"/>
  <c r="F19"/>
  <c r="F11" i="90"/>
  <c r="E19" i="92"/>
  <c r="E11" i="90"/>
  <c r="E14" s="1"/>
  <c r="E18" i="2" s="1"/>
  <c r="E29" s="1"/>
  <c r="F34" i="26"/>
  <c r="F31" i="8"/>
  <c r="G11" i="6"/>
  <c r="F51" i="4"/>
  <c r="F72" i="78"/>
  <c r="F51" i="74"/>
  <c r="F24" i="64"/>
  <c r="J26" i="76"/>
  <c r="J51" i="74"/>
  <c r="J19" i="62"/>
  <c r="J25" i="56"/>
  <c r="J31" i="48"/>
  <c r="J19" i="46"/>
  <c r="J21" i="44"/>
  <c r="J22" i="38"/>
  <c r="J28" i="34"/>
  <c r="J25" i="30"/>
  <c r="J26" i="28"/>
  <c r="J34" i="26"/>
  <c r="J40" i="22"/>
  <c r="J31" i="8"/>
  <c r="J11" i="102"/>
  <c r="B41" i="84"/>
  <c r="J41"/>
  <c r="J19" i="92"/>
  <c r="J11"/>
  <c r="J14" i="106"/>
  <c r="B20" i="2"/>
  <c r="B31" s="1"/>
  <c r="J11" i="106"/>
  <c r="J17" i="102"/>
  <c r="J24" i="14"/>
  <c r="L24"/>
  <c r="J11" i="100"/>
  <c r="K33" i="24"/>
  <c r="F14" i="90"/>
  <c r="B17" i="2"/>
  <c r="B14" i="72"/>
  <c r="J14" s="1"/>
  <c r="J72" i="78"/>
  <c r="J24" i="68"/>
  <c r="K32" i="24"/>
  <c r="B30"/>
  <c r="J30" s="1"/>
  <c r="J19" i="58"/>
  <c r="J52" i="54"/>
  <c r="K25" i="24"/>
  <c r="J27" i="52"/>
  <c r="J27" i="50"/>
  <c r="K11" i="24"/>
  <c r="J22"/>
  <c r="J20"/>
  <c r="J16"/>
  <c r="J26" i="36"/>
  <c r="B16" i="2"/>
  <c r="J16" s="1"/>
  <c r="J31" i="14"/>
  <c r="B63"/>
  <c r="J63" s="1"/>
  <c r="J26"/>
  <c r="C12" i="6"/>
  <c r="K12" s="1"/>
  <c r="F17" i="2" l="1"/>
  <c r="B28" i="24"/>
  <c r="I33" i="2"/>
  <c r="F13"/>
  <c r="F20"/>
  <c r="F31" s="1"/>
  <c r="H33"/>
  <c r="B28"/>
  <c r="G33"/>
  <c r="F16"/>
  <c r="F28" s="1"/>
  <c r="K13" i="24"/>
  <c r="J13"/>
  <c r="E22" i="6"/>
  <c r="F20"/>
  <c r="E12" i="2" s="1"/>
  <c r="E20" i="6"/>
  <c r="D12" i="2" s="1"/>
  <c r="G20" i="6"/>
  <c r="C13"/>
  <c r="K13" s="1"/>
  <c r="B16" i="72"/>
  <c r="J16" s="1"/>
  <c r="B31" i="24"/>
  <c r="K27"/>
  <c r="B18"/>
  <c r="J18" s="1"/>
  <c r="E35"/>
  <c r="E14" i="2" s="1"/>
  <c r="E22" s="1"/>
  <c r="K30" i="24"/>
  <c r="D35"/>
  <c r="D14" i="2" s="1"/>
  <c r="B51" i="4"/>
  <c r="F18" i="2"/>
  <c r="F29" s="1"/>
  <c r="D29"/>
  <c r="F19"/>
  <c r="F30" s="1"/>
  <c r="F15"/>
  <c r="B19"/>
  <c r="J14" i="100"/>
  <c r="G13" i="20"/>
  <c r="J13" s="1"/>
  <c r="B14" i="90"/>
  <c r="F35" i="24"/>
  <c r="F11" i="2"/>
  <c r="D31"/>
  <c r="J17"/>
  <c r="J20"/>
  <c r="K14" i="24"/>
  <c r="K23"/>
  <c r="K28" l="1"/>
  <c r="J28"/>
  <c r="F12" i="2"/>
  <c r="D27"/>
  <c r="D33" s="1"/>
  <c r="K20" i="6"/>
  <c r="B15" i="2"/>
  <c r="J15" s="1"/>
  <c r="K31" i="24"/>
  <c r="J31"/>
  <c r="B35"/>
  <c r="K18"/>
  <c r="E27" i="2"/>
  <c r="E33" s="1"/>
  <c r="F14"/>
  <c r="D22"/>
  <c r="B11"/>
  <c r="J51" i="4"/>
  <c r="B30" i="2"/>
  <c r="J19"/>
  <c r="J14" i="90"/>
  <c r="B18" i="2"/>
  <c r="J35" i="24" l="1"/>
  <c r="B14" i="2"/>
  <c r="J11"/>
  <c r="K18"/>
  <c r="B42" i="24"/>
  <c r="B12" i="2"/>
  <c r="F27"/>
  <c r="F33" s="1"/>
  <c r="F22"/>
  <c r="J18"/>
  <c r="B29"/>
  <c r="J14" l="1"/>
  <c r="K21"/>
  <c r="B22"/>
  <c r="J22" s="1"/>
  <c r="B27"/>
  <c r="B33" s="1"/>
  <c r="B42" s="1"/>
  <c r="J12"/>
</calcChain>
</file>

<file path=xl/sharedStrings.xml><?xml version="1.0" encoding="utf-8"?>
<sst xmlns="http://schemas.openxmlformats.org/spreadsheetml/2006/main" count="2891" uniqueCount="994">
  <si>
    <t>McMaster Student's Union</t>
  </si>
  <si>
    <t>Current</t>
  </si>
  <si>
    <t>Projected</t>
  </si>
  <si>
    <t>2015-16</t>
  </si>
  <si>
    <t>2014-15</t>
  </si>
  <si>
    <t>2013-14</t>
  </si>
  <si>
    <t>2012-13</t>
  </si>
  <si>
    <t>Explanation</t>
  </si>
  <si>
    <t>Budget</t>
  </si>
  <si>
    <t>YE</t>
  </si>
  <si>
    <t xml:space="preserve">All: </t>
  </si>
  <si>
    <t xml:space="preserve">  Dept. 0101 - Administration - All</t>
  </si>
  <si>
    <t xml:space="preserve">  Business Units - All</t>
  </si>
  <si>
    <t xml:space="preserve">  Zero Cost Centres - All</t>
  </si>
  <si>
    <t xml:space="preserve">  Committees &amp; Services - All</t>
  </si>
  <si>
    <t xml:space="preserve">  Service Operations - All</t>
  </si>
  <si>
    <t xml:space="preserve">  CFMU 93.3 Inc. - All</t>
  </si>
  <si>
    <t xml:space="preserve">  Marmor Fund - All</t>
  </si>
  <si>
    <t xml:space="preserve">  Student Health Plan Fund - All</t>
  </si>
  <si>
    <t xml:space="preserve">  Student Dental Plan - All</t>
  </si>
  <si>
    <t xml:space="preserve">  Dept. 0701 - University Centre Building Fund - All</t>
  </si>
  <si>
    <t>-</t>
  </si>
  <si>
    <t xml:space="preserve">   Total All</t>
  </si>
  <si>
    <t xml:space="preserve">  3101-0101 ADM - SALES - PHOTOCOPYING</t>
  </si>
  <si>
    <t xml:space="preserve">  3201-0101 ADM - FEES REV.- OPERATING FUND</t>
  </si>
  <si>
    <t xml:space="preserve">  3202-0101 ADM - WUSC FUND/ INCITE FEES</t>
  </si>
  <si>
    <t xml:space="preserve">  3203-0101 ADM - FEES REVENUE - HSR</t>
  </si>
  <si>
    <t xml:space="preserve">  3204-0101 ADM - FEES REV. - FACULTY SUPPORT</t>
  </si>
  <si>
    <t xml:space="preserve">  3205-0101 ADM - ANCILLARY SUPPORT FEES</t>
  </si>
  <si>
    <t xml:space="preserve">  3301-0101 ADM - GREYHOUND PARCEL</t>
  </si>
  <si>
    <t xml:space="preserve">  3701-0101 ADM -  INCOME - BANK INTEREST</t>
  </si>
  <si>
    <t xml:space="preserve">  3751-0101 ADM - INVESTMENT INCOME - SECURITIES</t>
  </si>
  <si>
    <t xml:space="preserve">  3801-0101 ADM - OTHER REVENUE</t>
  </si>
  <si>
    <t xml:space="preserve">  5003-0101 ADM - OFFICE SUPPLIES</t>
  </si>
  <si>
    <t xml:space="preserve">  5010-0101 ADM -  POSTAGE</t>
  </si>
  <si>
    <t xml:space="preserve">  5015-0101 ADM - COURIER SERVICE</t>
  </si>
  <si>
    <t xml:space="preserve">  5101-0101 ADM - TELEPHONE</t>
  </si>
  <si>
    <t xml:space="preserve">  5201-0101 ADM - PHOTOCOPYING</t>
  </si>
  <si>
    <t xml:space="preserve">  5301-0101 ADM - COMP. SUPP. &amp; SOFTWARE</t>
  </si>
  <si>
    <t xml:space="preserve">  5401-0101 ADM - INSURANCE - EQUIPMENT</t>
  </si>
  <si>
    <t xml:space="preserve">  5501-0101 ADM - REPAIRS &amp; MTCE.</t>
  </si>
  <si>
    <t xml:space="preserve">  5715-0101 ADM - RENT EXPENSE - EQUIPMENT</t>
  </si>
  <si>
    <t xml:space="preserve">  5905-0101 ADM - MEMBERSHIP &amp; SUBSCRIPTIONS</t>
  </si>
  <si>
    <t xml:space="preserve">  6111-0101 ADM - FT STAFF EVENTS</t>
  </si>
  <si>
    <t xml:space="preserve">  6402-0101 ADM - AWARDS &amp; MEETINGS</t>
  </si>
  <si>
    <t xml:space="preserve">  6501-0101 ADM - ADV. &amp; PROMO.</t>
  </si>
  <si>
    <t xml:space="preserve">  6601-0101 ADM - HEALTH &amp; SAFETY</t>
  </si>
  <si>
    <t xml:space="preserve">  6602-0101 ADM - WUSC/INCITE DISBURSEMENT</t>
  </si>
  <si>
    <t xml:space="preserve">  6603-0101 ADM - FACULTY SUPPORT DISB.</t>
  </si>
  <si>
    <t xml:space="preserve">  6715-0101 ADM - PURCHASED SERVICES</t>
  </si>
  <si>
    <t xml:space="preserve">  6801-0101 ADM -  MGMT TRAINING</t>
  </si>
  <si>
    <t xml:space="preserve">  6802-0101 ADM - EDUCATIONAL EXPENSE</t>
  </si>
  <si>
    <t xml:space="preserve">  6901-0101 ADM - TRAVEL &amp; CONFERENCE</t>
  </si>
  <si>
    <t xml:space="preserve">  7001-0101 ADM - WAGES</t>
  </si>
  <si>
    <t xml:space="preserve">  7101-0101 ADM - BENEFITS</t>
  </si>
  <si>
    <t xml:space="preserve">  7301-0101 ADM - AUDIT FEES</t>
  </si>
  <si>
    <t xml:space="preserve">  7351-0101 ADM - PROFESSIONAL FEES</t>
  </si>
  <si>
    <t xml:space="preserve">  7401-0101 ADM - BANK CHARGES</t>
  </si>
  <si>
    <t xml:space="preserve">  7515-0101 ADM - CASH (OVER)/SHORT</t>
  </si>
  <si>
    <t xml:space="preserve">  7599-0101 ADM - OVERHEAD</t>
  </si>
  <si>
    <t xml:space="preserve">  8001-0101 ADM - DEPRECIATION EXPENSE</t>
  </si>
  <si>
    <t xml:space="preserve">  8501-0101 ADM - HST/GST EXPENSE</t>
  </si>
  <si>
    <t xml:space="preserve">  Dept. 0201 - Union Market - All</t>
  </si>
  <si>
    <t xml:space="preserve">  Dept. 0202 - House of Games - All</t>
  </si>
  <si>
    <t xml:space="preserve">  Dept. 0203 - Underground Media &amp; Design - All</t>
  </si>
  <si>
    <t xml:space="preserve">  Dept. 0204 - TwelvEighty - All</t>
  </si>
  <si>
    <t xml:space="preserve">  Dept. 0206 - Shortstop - All</t>
  </si>
  <si>
    <t xml:space="preserve">  Dept. 0207 - Student Wellness - All</t>
  </si>
  <si>
    <t xml:space="preserve">  3001-0201 UMKT - SALES - GENERAL</t>
  </si>
  <si>
    <t xml:space="preserve">  3801-0201 UMKT - OTHER REVENUE</t>
  </si>
  <si>
    <t xml:space="preserve">  4001-0201 UMKT - COS - GENERAL</t>
  </si>
  <si>
    <t xml:space="preserve">  4002-0201 UMKT - COS - SPOILAGE</t>
  </si>
  <si>
    <t xml:space="preserve">  5003-0201 UMKT - OFFICE SUPPLIES</t>
  </si>
  <si>
    <t xml:space="preserve">  5101-0201 UMKT - TELEPHONE</t>
  </si>
  <si>
    <t xml:space="preserve">  5201-0201 UMKT - PHOTOCOPYING</t>
  </si>
  <si>
    <t xml:space="preserve">  5306-0201 UMKT - STORE SUPPLIES</t>
  </si>
  <si>
    <t xml:space="preserve">  5501-0201 UMKT - REPAIRS &amp; MTCE.</t>
  </si>
  <si>
    <t xml:space="preserve">  5715-0201 UMKT - RENT EXPENSE - EQUIPMENT</t>
  </si>
  <si>
    <t xml:space="preserve">  6402-0201 UMKT - AWARDS &amp; MEETINGS</t>
  </si>
  <si>
    <t xml:space="preserve">  6501-0201 UMKT - ADV. &amp; PROMO.</t>
  </si>
  <si>
    <t xml:space="preserve">  6802-0201 UMKT - TRAINING</t>
  </si>
  <si>
    <t xml:space="preserve">  6901-0201 UMKT - TRAVEL - GENERAL</t>
  </si>
  <si>
    <t xml:space="preserve">  7001-0201 UMKT - WAGES</t>
  </si>
  <si>
    <t xml:space="preserve">  7101-0201 UMKT - BENEFITS</t>
  </si>
  <si>
    <t xml:space="preserve">  7401-0201 UMKT - BANK CHARGES</t>
  </si>
  <si>
    <t xml:space="preserve">  7515-0201 UMKT - CASH (OVER)/SHORT</t>
  </si>
  <si>
    <t xml:space="preserve">  8001-0201 UMKT - DEPRECIATION EXPENSE</t>
  </si>
  <si>
    <t xml:space="preserve">  3801-0202 CUE - RENTAL INCOME</t>
  </si>
  <si>
    <t xml:space="preserve">  5101-0202 CUE - TELEPHONE</t>
  </si>
  <si>
    <t xml:space="preserve">  3002-0203 UNGRN - SALES - COPY &amp; PRINT - B&amp;W</t>
  </si>
  <si>
    <t xml:space="preserve">  3003-0203 UNGRN - SALES - OUTSIDE PRINTING</t>
  </si>
  <si>
    <t xml:space="preserve">  3004-0203 UNGRN - SALES - COURSEWARE</t>
  </si>
  <si>
    <t xml:space="preserve">  3005-0203 UNGRN - SALES - BINDING</t>
  </si>
  <si>
    <t xml:space="preserve">  3006-0203 UNGRN - SALES - LABOUR &amp; DESIGN</t>
  </si>
  <si>
    <t xml:space="preserve">  3007-0203 UNGRN - SALES - FAX</t>
  </si>
  <si>
    <t xml:space="preserve">  3008-0203 UNGRN - SALES - SILH AD DESIGN</t>
  </si>
  <si>
    <t xml:space="preserve">  3009-0203 UNGRN - SALES - RETAIL</t>
  </si>
  <si>
    <t xml:space="preserve">  3010-0203 UNGRN - COPYING &amp; PRINT - COLOUR</t>
  </si>
  <si>
    <t xml:space="preserve">  3011-0203 UNGRN - WIDE FORMAT PRINTING</t>
  </si>
  <si>
    <t xml:space="preserve">  3012-0203 UNGRN - MISCELLANEOUS SALES</t>
  </si>
  <si>
    <t xml:space="preserve">  3015-0203 UNGRN - ISLAND INKJET SALES</t>
  </si>
  <si>
    <t xml:space="preserve">  3020-0203 UNGRN - SALES - INT. - WIDE FORMAT</t>
  </si>
  <si>
    <t xml:space="preserve">  3021-0203 UNGRN - SALES - INT. - PHOTOCOPYING</t>
  </si>
  <si>
    <t xml:space="preserve">  3022-0203 UNGRN - SALES - INT. - OUTSIDE PRINTING</t>
  </si>
  <si>
    <t xml:space="preserve">  3024-0203 UNGRN - SALES - INT. - BINDING</t>
  </si>
  <si>
    <t xml:space="preserve">  3025-0203 UNGRN - SALES - INT. - LABOUR</t>
  </si>
  <si>
    <t xml:space="preserve">  3111-0203 UNGRN - SALES - WWP ADVERTISING</t>
  </si>
  <si>
    <t xml:space="preserve">  3112-0203 UNGRN - SALES - WALL CALENDAR</t>
  </si>
  <si>
    <t xml:space="preserve">  3114-0203 UNGRN - SALES - ALMANAC INTERNAL</t>
  </si>
  <si>
    <t xml:space="preserve">  3115-0203 UNGRN - SALES - ALMANAC</t>
  </si>
  <si>
    <t xml:space="preserve">  3116-0203 UNGRN - MARMOR PRODUCTION  REV.</t>
  </si>
  <si>
    <t xml:space="preserve">  4001-0203 UNGRN - COS - PAPER SUPPLIES</t>
  </si>
  <si>
    <t xml:space="preserve">  4011-0203 UNGRN - COS - WIDE FORMAT PRINT</t>
  </si>
  <si>
    <t xml:space="preserve">  4015-0203 UNGRN- COS- ISLAND INK JET</t>
  </si>
  <si>
    <t xml:space="preserve">  4201-0203 UNGRN - COS - PHOTOCOPYING</t>
  </si>
  <si>
    <t xml:space="preserve">  4203-0203 UNGRN - COS - PRINTING</t>
  </si>
  <si>
    <t xml:space="preserve">  4204-0203 UNGRN - COS - BINDING</t>
  </si>
  <si>
    <t xml:space="preserve">  4206-0203 UNGRN - COS - PROMOTIONAL MDSE</t>
  </si>
  <si>
    <t xml:space="preserve">  4207-0203 UNGRN - COS - RETAIL MDSE</t>
  </si>
  <si>
    <t xml:space="preserve">  4212-0203 UNGRN - COS - WALL CALENDARS</t>
  </si>
  <si>
    <t xml:space="preserve">  4215-0203 UNGRN - COS-ALMANAC EXPENSE</t>
  </si>
  <si>
    <t xml:space="preserve">  5003-0203 UNGRN - OFFICE SUPPLIES</t>
  </si>
  <si>
    <t xml:space="preserve">  5015-0203 UNGRN - COURIER SERVICE</t>
  </si>
  <si>
    <t xml:space="preserve">  5101-0203 UNGRN - TELEPHONE</t>
  </si>
  <si>
    <t xml:space="preserve">  5201-0203 UNGRN - PHOTOCOPYING</t>
  </si>
  <si>
    <t xml:space="preserve">  5203-0203 UNGRN - PRINTING EXPENSE</t>
  </si>
  <si>
    <t xml:space="preserve">  5205-0203 UNGRN - PHOTOGRAPHIC EXP</t>
  </si>
  <si>
    <t xml:space="preserve">  5206-0203 UNGRN - PROMOTIONAL EXP</t>
  </si>
  <si>
    <t xml:space="preserve">  5501-0203 UNGRN - REPAIRS &amp; MTCE.</t>
  </si>
  <si>
    <t xml:space="preserve">  6501-0203 UNGRN - ADV. &amp; PROMO.</t>
  </si>
  <si>
    <t xml:space="preserve">  6612-0203 UNGRN - EXPENSE ACCOUNT</t>
  </si>
  <si>
    <t xml:space="preserve">  6901-0203 UNGRN - TRAVEL - GENERAL</t>
  </si>
  <si>
    <t xml:space="preserve">  7001-0203 UNGRN - WAGES</t>
  </si>
  <si>
    <t xml:space="preserve">  7051-0203 UNGRN - AD COMMISSIONS</t>
  </si>
  <si>
    <t xml:space="preserve">  7101-0203 UNGRN - BENEFITS</t>
  </si>
  <si>
    <t xml:space="preserve">  7401-0203 UNGRN - BANK CHARGES</t>
  </si>
  <si>
    <t xml:space="preserve">  7515-0203 UNGRN - CASH (OVER)/SHORT</t>
  </si>
  <si>
    <t xml:space="preserve">  7591-0203 UNGRN - BAD DEBTS</t>
  </si>
  <si>
    <t xml:space="preserve">  8001-0203 UNGRN - DEPRECIATION EXPENSE</t>
  </si>
  <si>
    <t xml:space="preserve">  8501-0203 UNGRN -HST/ GST EXPENSE</t>
  </si>
  <si>
    <t xml:space="preserve">  3051-0204 TWELVE - SALES - BOTTLED BEER</t>
  </si>
  <si>
    <t xml:space="preserve">  3052-0204 TWELVE - SALES - DRAUGHT BEER</t>
  </si>
  <si>
    <t xml:space="preserve">  3053-0204 TWELVE - SALES - LIQUOR</t>
  </si>
  <si>
    <t xml:space="preserve">  3054-0204 TWELVE - SALES - COOLERS</t>
  </si>
  <si>
    <t xml:space="preserve">  3055-0204 TWELVE - SALES - WINE</t>
  </si>
  <si>
    <t xml:space="preserve">  3061-0204 TWELVE - SALES - NON ALCOHOLIC</t>
  </si>
  <si>
    <t xml:space="preserve">  3062-0204 TWELVE - SALES - FOOD</t>
  </si>
  <si>
    <t xml:space="preserve">  3063-0204 TWELVE - CATERING SALES</t>
  </si>
  <si>
    <t xml:space="preserve">  3251-0204 TWELVE - ADMISSION FEE REV.</t>
  </si>
  <si>
    <t xml:space="preserve">  3253-0204 TWELVE - COAT CHECK REVENUE</t>
  </si>
  <si>
    <t xml:space="preserve">  3264-0204 TWELVE - GIFT CERT - SALES</t>
  </si>
  <si>
    <t xml:space="preserve">  3801-0204 TWELVE - OTHER  REVENUE</t>
  </si>
  <si>
    <t xml:space="preserve">  3802-0204 TWELVE - RENTAL REVENUES</t>
  </si>
  <si>
    <t xml:space="preserve">  4051-0204 TWELVE - COS - BOTTLED BEER</t>
  </si>
  <si>
    <t xml:space="preserve">  4052-0204 TWELVE - COS - DRAUGHT BEER</t>
  </si>
  <si>
    <t xml:space="preserve">  4053-0204 TWELVE - COS - LIQUOR</t>
  </si>
  <si>
    <t xml:space="preserve">  4054-0204 TWELVE - COS - COOLERS</t>
  </si>
  <si>
    <t xml:space="preserve">  4055-0204 TWELVE - COS - WINE</t>
  </si>
  <si>
    <t xml:space="preserve">  4056-0204 TWELVE - COS - SPOILAGE</t>
  </si>
  <si>
    <t xml:space="preserve">  4061-0204 TWELVE - COS - NON-ALCOHOLIC</t>
  </si>
  <si>
    <t xml:space="preserve">  4062-0204 TWELVE - COS - FOOD</t>
  </si>
  <si>
    <t xml:space="preserve">  5003-0204 TWELVE - OFFICE SUPPLIES</t>
  </si>
  <si>
    <t xml:space="preserve">  5101-0204 TWELVE - TELEPHONE</t>
  </si>
  <si>
    <t xml:space="preserve">  5201-0204 TWELVE -  PHOTOCOPYING</t>
  </si>
  <si>
    <t xml:space="preserve">  5301-0204 TWELVE - CLEANING SUPPLIES</t>
  </si>
  <si>
    <t xml:space="preserve">  5311-0204 TWELVE - SMALLWARE SUPPLIES</t>
  </si>
  <si>
    <t xml:space="preserve">  5321-0204 TWELVE - BAR SUPPLIES</t>
  </si>
  <si>
    <t xml:space="preserve">  5325-0204 TWELVE - DELIVERY CHARGE</t>
  </si>
  <si>
    <t xml:space="preserve">  5331-0204 TWELVE - KITCHEN SUPPLIES</t>
  </si>
  <si>
    <t xml:space="preserve">  5401-0204 TWELVE - INSURANCE</t>
  </si>
  <si>
    <t xml:space="preserve">  5501-0204 TWELVE - REPAIRS &amp; MTCE</t>
  </si>
  <si>
    <t xml:space="preserve">  5715-0204 TWELVE - RENT EXPENSE EQUIPMENT</t>
  </si>
  <si>
    <t xml:space="preserve">  5716-0204 TWELVE - MEAL CARD</t>
  </si>
  <si>
    <t xml:space="preserve">  5905-0204 TWELVE - MEMBERSHIPS</t>
  </si>
  <si>
    <t xml:space="preserve">  5915-0204 TWELVE - SOCAN LICENSE</t>
  </si>
  <si>
    <t xml:space="preserve">  6051-0204 TWELVE -  DJ SERVICE</t>
  </si>
  <si>
    <t xml:space="preserve">  6501-0204 TWELVE - MEDIA ADVERTISING</t>
  </si>
  <si>
    <t xml:space="preserve">  6504-0204 TWELVE - PROMOTIONS - GENERAL</t>
  </si>
  <si>
    <t xml:space="preserve">  6507-0204 TWELVE - FOOD - STAFF</t>
  </si>
  <si>
    <t xml:space="preserve">  6612-0204 TWELVE - EXPENSE ACCOUNT</t>
  </si>
  <si>
    <t xml:space="preserve">  6701-0204 TWELVE - STAFF UNIFORMS</t>
  </si>
  <si>
    <t xml:space="preserve">  6715-0204 TWELVE - PURCHASED SERVICES</t>
  </si>
  <si>
    <t xml:space="preserve">  6804-0204 TWELVE - STAFF TRAINING</t>
  </si>
  <si>
    <t xml:space="preserve">  6901-0204 TWELVE - TRAVEL &amp; CONFERENCE</t>
  </si>
  <si>
    <t xml:space="preserve">  7001-0204 TWELVE - WAGES</t>
  </si>
  <si>
    <t xml:space="preserve">  7101-0204 TWELVE - BENEFITS</t>
  </si>
  <si>
    <t xml:space="preserve">  7401-0204 TWELVE - BANK CHARGES</t>
  </si>
  <si>
    <t xml:space="preserve">  7515-0204 TWELVE - CASH (OVER)/SHORT</t>
  </si>
  <si>
    <t xml:space="preserve">  7591-0204 TWELVE - BAD DEBTS</t>
  </si>
  <si>
    <t xml:space="preserve">  8001-0204 TWELVE - DEPRECIATION EXPENSE</t>
  </si>
  <si>
    <t xml:space="preserve">  8501-0204 TWELVE -HST/  GST EXPENSE</t>
  </si>
  <si>
    <t xml:space="preserve">  3801-0206 SHORT STOP - OTHER INCOME</t>
  </si>
  <si>
    <t xml:space="preserve">  3802-0207 STWELL - RENTAL INCOME</t>
  </si>
  <si>
    <t xml:space="preserve">  Dept. 0106 - Child Care Centre - All</t>
  </si>
  <si>
    <t xml:space="preserve">  3261-0106 DCR - FEES REV.- PRIVATE PARENTS</t>
  </si>
  <si>
    <t xml:space="preserve">  3262-0106 DCR - FEES REV. - SUBSIDY PARENTS</t>
  </si>
  <si>
    <t xml:space="preserve">  3263-0106 DCR - FEES REV. - REGISTRATIONS</t>
  </si>
  <si>
    <t xml:space="preserve">  3651-0106 DCR - GRANTS - STUDENT  PLACEMENT</t>
  </si>
  <si>
    <t xml:space="preserve">  3661-0106 DCR - GRANTS - PROV. SALARY SUBSIDY</t>
  </si>
  <si>
    <t xml:space="preserve">  3801-0106 DCR - OTHER REVENUE</t>
  </si>
  <si>
    <t xml:space="preserve">  5003-0106 DCR - OFFICE SUPPLIES</t>
  </si>
  <si>
    <t xml:space="preserve">  5101-0106 DCR - TELEPHONE</t>
  </si>
  <si>
    <t xml:space="preserve">  5201-0106 DCR - PHOTOCOPYING</t>
  </si>
  <si>
    <t xml:space="preserve">  5301-0106 DCR - CLEANING SUPPLIES</t>
  </si>
  <si>
    <t xml:space="preserve">  5305-0106 DCR - KITCHEN SUPPLIES</t>
  </si>
  <si>
    <t xml:space="preserve">  5401-0106 DCR - INSURANCE</t>
  </si>
  <si>
    <t xml:space="preserve">  5501-0106 DCR - REPAIRS &amp; MTCE.</t>
  </si>
  <si>
    <t xml:space="preserve">  5715-0106 DCR - RENT EXPENSE - EQUIPMENT</t>
  </si>
  <si>
    <t xml:space="preserve">  5801-0106 DCR - RENT - FACILITIES</t>
  </si>
  <si>
    <t xml:space="preserve">  5905-0106 DCR - MEMBERSHIPS</t>
  </si>
  <si>
    <t xml:space="preserve">  6501-0106 DCR - ADV. &amp; PROMO.</t>
  </si>
  <si>
    <t xml:space="preserve">  6601-0106 DCR - FOOD EXPENSE</t>
  </si>
  <si>
    <t xml:space="preserve">  6605-0106 DCR - PLAY &amp; LEARNING SUPPLIES</t>
  </si>
  <si>
    <t xml:space="preserve">  6715-0106 DCR - PURCHASED SERVICES</t>
  </si>
  <si>
    <t xml:space="preserve">  6901-0106 DCR - TRAVEL - GENERAL</t>
  </si>
  <si>
    <t xml:space="preserve">  6912-0106 DCR - TRAVEL - CONFERENCE</t>
  </si>
  <si>
    <t xml:space="preserve">  7001-0106 DCR - WAGES</t>
  </si>
  <si>
    <t xml:space="preserve">  7101-0106 DCR - BENEFITS</t>
  </si>
  <si>
    <t xml:space="preserve">  7401-0106 DCR - BANK CHARGES</t>
  </si>
  <si>
    <t xml:space="preserve">  7515-0106 DCR - CASH (OVER)/SHORT</t>
  </si>
  <si>
    <t xml:space="preserve">  7591-0106 DCR -  BAD DEBTS</t>
  </si>
  <si>
    <t xml:space="preserve">  8001-0106 DCR - DEPRECIATION EXPENSE</t>
  </si>
  <si>
    <t xml:space="preserve">  Dept. 0107 - Emergency First Response Team - All</t>
  </si>
  <si>
    <t xml:space="preserve">  Dept. 0108 - MacCycle - All</t>
  </si>
  <si>
    <t xml:space="preserve">  Dept. 0116 - Student Health Education Centre - All</t>
  </si>
  <si>
    <t xml:space="preserve">  Dept. 0117 - Student Walk Home Attendant Team - All</t>
  </si>
  <si>
    <t xml:space="preserve">  Dept. 0119 - QSCC - All</t>
  </si>
  <si>
    <t xml:space="preserve">  Dept. 0120 - Maroons - All</t>
  </si>
  <si>
    <t xml:space="preserve">  Dept. 0121 - CLAY - All</t>
  </si>
  <si>
    <t xml:space="preserve">  Dept. 0122 - Fundraising Initiative Team (FIT) - All</t>
  </si>
  <si>
    <t xml:space="preserve">  Dept. 0123 - PAC - All</t>
  </si>
  <si>
    <t xml:space="preserve">  Dept. 0124 - Horizons - All</t>
  </si>
  <si>
    <t xml:space="preserve">  Dept. 0125 - SPARK - All</t>
  </si>
  <si>
    <t xml:space="preserve">  Dept. 0302 - Clubs Administrator - All</t>
  </si>
  <si>
    <t xml:space="preserve">  Dept. 0303 - Elections Committee - All</t>
  </si>
  <si>
    <t xml:space="preserve">  Dept. 0304 - MacGreen - All</t>
  </si>
  <si>
    <t xml:space="preserve">  Dept. 0305 - Executive - All</t>
  </si>
  <si>
    <t xml:space="preserve">  Dept. 0306 - Student Community Support Network - All</t>
  </si>
  <si>
    <t xml:space="preserve">  Dept. 0308 - Women &amp; Gender Equity Network - All</t>
  </si>
  <si>
    <t xml:space="preserve">  Dept. 0310 - Public Relations Committee - All</t>
  </si>
  <si>
    <t xml:space="preserve">  Dept. 0312 - Teaching Awards Committee - All</t>
  </si>
  <si>
    <t xml:space="preserve">  Dept. 0316 - Peer Support - All</t>
  </si>
  <si>
    <t xml:space="preserve">  Dept. 0317 - Diversity Services - All</t>
  </si>
  <si>
    <t xml:space="preserve">  Dept. 0318 - MacBread Bin - All</t>
  </si>
  <si>
    <t xml:space="preserve">  Dept. 0319 - First Year Council - All</t>
  </si>
  <si>
    <t xml:space="preserve">  3271-0107 EFRT - FEES REV. - COURSES</t>
  </si>
  <si>
    <t xml:space="preserve">  3801-0107 EFRT - MAC SUMMER FUNDING</t>
  </si>
  <si>
    <t xml:space="preserve">  3881-0107 EFRT - TEAM UNIFORM REVENUES</t>
  </si>
  <si>
    <t xml:space="preserve">  5003-0107 EFRT - OFFICE SUPPLIES</t>
  </si>
  <si>
    <t xml:space="preserve">  5101-0107 EFRT - TELEPHONE</t>
  </si>
  <si>
    <t xml:space="preserve">  5201-0107 EFRT - PHOTOCOPYING</t>
  </si>
  <si>
    <t xml:space="preserve">  5315-0107 EFRT - TEAM SUPPLIES</t>
  </si>
  <si>
    <t xml:space="preserve">  5501-0107 EFRT - REPAIRS &amp; MTCE.</t>
  </si>
  <si>
    <t xml:space="preserve">  5715-0107 EFRT - RENT EXPENSE - EQUIPMENT</t>
  </si>
  <si>
    <t xml:space="preserve">  6201-0107 EFRT - CONFERENCE EXPENSES</t>
  </si>
  <si>
    <t xml:space="preserve">  6300-0107 EFRT - MAC SUMMER FUNDING EXPENSES</t>
  </si>
  <si>
    <t xml:space="preserve">  6415-0107 EFRT - RECOGNITION AWARDS</t>
  </si>
  <si>
    <t xml:space="preserve">  6501-0107 EFRT - ADV. &amp; PROMO.</t>
  </si>
  <si>
    <t xml:space="preserve">  6633-0107 EFRT - TEAM UNIFORMS</t>
  </si>
  <si>
    <t xml:space="preserve">  6803-0107 EFRT - PUBLIC EDUCATION</t>
  </si>
  <si>
    <t xml:space="preserve">  6804-0107 EFRT - VOLUNTEER TRAINING</t>
  </si>
  <si>
    <t xml:space="preserve">  6912-0107 EFRT - TRAVEL - CONFERENCE</t>
  </si>
  <si>
    <t xml:space="preserve">  7001-0107 EFRT - WAGES</t>
  </si>
  <si>
    <t xml:space="preserve">  7101-0107 EFRT - BENEFITS</t>
  </si>
  <si>
    <t xml:space="preserve">  7401-0107 EFRT - BANK FEES</t>
  </si>
  <si>
    <t xml:space="preserve">  8001-0107 EFRT - DEPRECIATION EXPENSE</t>
  </si>
  <si>
    <t xml:space="preserve">  8501-0107 EFRT - HST/  GST EXPENSE</t>
  </si>
  <si>
    <t xml:space="preserve">  3301-0108 MCYC - SALES REVENUE</t>
  </si>
  <si>
    <t xml:space="preserve">  3801-0108 MCYC - OTHER REVENUE</t>
  </si>
  <si>
    <t xml:space="preserve">  5003-0108 MCYC - OFFICE SUPPLIES</t>
  </si>
  <si>
    <t xml:space="preserve">  5101-0108 MCYC - TELEPHONE</t>
  </si>
  <si>
    <t xml:space="preserve">  5201-0108 MCYC - PHOTOCOPYING</t>
  </si>
  <si>
    <t xml:space="preserve">  5501-0108 MCYC - R&amp;M - EQUIPMENT</t>
  </si>
  <si>
    <t xml:space="preserve">  6494-0108 MCYC - VOLUNTEER RECOGNITION</t>
  </si>
  <si>
    <t xml:space="preserve">  6501-0108 MCYC - ADV. &amp; PROMO.</t>
  </si>
  <si>
    <t xml:space="preserve">  6603-0108 MCYC - SPECIAL PROJECTS</t>
  </si>
  <si>
    <t xml:space="preserve">  6604-0108 MCYC - PARTS</t>
  </si>
  <si>
    <t xml:space="preserve">  7001-0108 MCYC - WAGES</t>
  </si>
  <si>
    <t xml:space="preserve">  7101-0108 MCYC - BENEFITS</t>
  </si>
  <si>
    <t xml:space="preserve">  8001-0108 MCYC - DEPRECIATION EXPENSE</t>
  </si>
  <si>
    <t xml:space="preserve">  8501-0108 MCYC - HST/GST EXPENSE</t>
  </si>
  <si>
    <t xml:space="preserve">  5003-0116 SHEC - OFFICE SUPPLIES</t>
  </si>
  <si>
    <t xml:space="preserve">  5101-0116 SHEC - TELEPHONE</t>
  </si>
  <si>
    <t xml:space="preserve">  5201-0116 SHEC - PHOTOCOPYING</t>
  </si>
  <si>
    <t xml:space="preserve">  5501-0116 SHEC - REPAIRS &amp; MTCE.</t>
  </si>
  <si>
    <t xml:space="preserve">  5951-0116 SHEC - REFERENCE LIBRARY</t>
  </si>
  <si>
    <t xml:space="preserve">  6102-0116 SHEC - ANNUAL CAMPAIGNS</t>
  </si>
  <si>
    <t xml:space="preserve">  6494-0116 SHEC - VOLUNTEER RECOGNITION</t>
  </si>
  <si>
    <t xml:space="preserve">  6501-0116 SHEC - ADV. &amp; PROMO.</t>
  </si>
  <si>
    <t xml:space="preserve">  6804-0116 SHEC - TRAINING EXPENSE</t>
  </si>
  <si>
    <t xml:space="preserve">  6901-0116 SHEC - TRAVEL &amp; CONFERENCE</t>
  </si>
  <si>
    <t xml:space="preserve">  7001-0116 SHEC - WAGES</t>
  </si>
  <si>
    <t xml:space="preserve">  7101-0116 SHEC - BENEFITS</t>
  </si>
  <si>
    <t xml:space="preserve">  8001-0116 SHEC - DEPRECIATION EXPENSE</t>
  </si>
  <si>
    <t xml:space="preserve">  5003-0117 SWHT - OFFICE SUPPLIES</t>
  </si>
  <si>
    <t xml:space="preserve">  5101-0117 SWHT - TELEPHONE</t>
  </si>
  <si>
    <t xml:space="preserve">  5201-0117 SWHT - PHOTOCOPYING</t>
  </si>
  <si>
    <t xml:space="preserve">  5501-0117 SWHT - REPAIRS &amp; MTCE.</t>
  </si>
  <si>
    <t xml:space="preserve">  6102-0117 SWHT - ANNUAL CAMPAIGNS</t>
  </si>
  <si>
    <t xml:space="preserve">  6494-0117 SWHT - VOLUNTEER RECOGNITION</t>
  </si>
  <si>
    <t xml:space="preserve">  6501-0117 SWHT - ADV. &amp; PROMO.</t>
  </si>
  <si>
    <t xml:space="preserve">  6633-0117 SWHT - TEAM UNIFORMS</t>
  </si>
  <si>
    <t xml:space="preserve">  6804-0117 SWHT - VOLUNTEER TRAINING</t>
  </si>
  <si>
    <t xml:space="preserve">  6901-0117 SWHT - TRAVEL &amp; CONFERENCE</t>
  </si>
  <si>
    <t xml:space="preserve">  7001-0117 SWHT - WAGES</t>
  </si>
  <si>
    <t xml:space="preserve">  7101-0117 SWAT - BENEFITS</t>
  </si>
  <si>
    <t xml:space="preserve">  8001-0117 SWHT - DEPRECIATION EXPENSE</t>
  </si>
  <si>
    <t xml:space="preserve">  3301-0119 QSCC - TICKET SALES - FORMAL</t>
  </si>
  <si>
    <t xml:space="preserve">  3304-0119 QSCC-RESOURCE DONATIONS</t>
  </si>
  <si>
    <t xml:space="preserve">  3801-0119 QSCC - OTHER REVENUE</t>
  </si>
  <si>
    <t xml:space="preserve">  5003-0119 QSCC - OFFICE SUPPLIES</t>
  </si>
  <si>
    <t xml:space="preserve">  5101-0119 QSCC - TELEPHONE</t>
  </si>
  <si>
    <t xml:space="preserve">  5201-0119 QSCC - PHOTOCOPYING</t>
  </si>
  <si>
    <t xml:space="preserve">  5202-0119 QSCC - COMMUNITY OUTREACH</t>
  </si>
  <si>
    <t xml:space="preserve">  6101-0119 QSCC - FORMAL EXPENSES</t>
  </si>
  <si>
    <t xml:space="preserve">  6102-0119 QSCC - ANNUAL CAMPAIGNS</t>
  </si>
  <si>
    <t xml:space="preserve">  6494-0119 QSCC - VOLUNTEER RECOGNITION</t>
  </si>
  <si>
    <t xml:space="preserve">  6501-0119 QSCC - ADV. &amp; PROMO.</t>
  </si>
  <si>
    <t xml:space="preserve">  6604-0119 QSCC - RESOURCE PURCHASES</t>
  </si>
  <si>
    <t xml:space="preserve">  6804-0119 QSCC - TRAINING EXPENSE</t>
  </si>
  <si>
    <t xml:space="preserve">  7001-0119 QSCC - WAGES</t>
  </si>
  <si>
    <t xml:space="preserve">  7101-0119 QSCC - BENEFITS</t>
  </si>
  <si>
    <t xml:space="preserve">  8001-0119 QSCC - DEPRECIATION EXPENSE</t>
  </si>
  <si>
    <t xml:space="preserve">  3801-0120 MAROONS - MISC. REVENUE</t>
  </si>
  <si>
    <t xml:space="preserve">  3881-0120 MAROONS - UNIFORM REVENUES</t>
  </si>
  <si>
    <t xml:space="preserve">  5003-0120 MAROONS - OFFICE SUPPLIES</t>
  </si>
  <si>
    <t xml:space="preserve">  5101-0120 MAROONS - TELEPHONE</t>
  </si>
  <si>
    <t xml:space="preserve">  5201-0120 MAROONS - PHOTOCOPYING</t>
  </si>
  <si>
    <t xml:space="preserve">  6102-0120 MAROONS - ANNUAL CAMPAIGNS</t>
  </si>
  <si>
    <t xml:space="preserve">  6415-0120 MAROONS - RECOGNITION AWARDS</t>
  </si>
  <si>
    <t xml:space="preserve">  6501-0120 MAROONS - ADV. &amp; PROMO.</t>
  </si>
  <si>
    <t xml:space="preserve">  6603-0120 MAROONS - SPECIAL PROJECTS</t>
  </si>
  <si>
    <t xml:space="preserve">  6633-0120 MAROONS - UNIFORMS</t>
  </si>
  <si>
    <t xml:space="preserve">  6804-0120 MAROONS - MEMBER TRAINING</t>
  </si>
  <si>
    <t xml:space="preserve">  7001-0120 MAROONS - WAGES</t>
  </si>
  <si>
    <t xml:space="preserve">  7101-0120 MAROONS - BENEFITS</t>
  </si>
  <si>
    <t xml:space="preserve">  8001-0120 MAROONS - DEPRECIATION EXPENSE</t>
  </si>
  <si>
    <t xml:space="preserve">  3301-0121 CLAY - CONFERENCE REVENUE</t>
  </si>
  <si>
    <t xml:space="preserve">  3302-0121 CLAY - LEADER T-SHIRTS REVENUE</t>
  </si>
  <si>
    <t xml:space="preserve">  3801-0121 CLAY - OTHER REVENUE</t>
  </si>
  <si>
    <t xml:space="preserve">  5003-0121 CLAY - OFFICE SUPPLIES</t>
  </si>
  <si>
    <t xml:space="preserve">  5101-0121 CLAY - TELEPHONE</t>
  </si>
  <si>
    <t xml:space="preserve">  5201-0121 CLAY - PHOTOCOPYING</t>
  </si>
  <si>
    <t xml:space="preserve">  6102-0121 CLAY - ANNUAL CAMPAIGNS</t>
  </si>
  <si>
    <t xml:space="preserve">  7001-0121 CLAY - WAGES</t>
  </si>
  <si>
    <t xml:space="preserve">  7101-0121 CLAY - BENEFITS</t>
  </si>
  <si>
    <t xml:space="preserve">  8501-0121 CLAY - HST/GST EXPENSE</t>
  </si>
  <si>
    <t xml:space="preserve">  3301-0122 FIT - SHINERAMA DONATIONS</t>
  </si>
  <si>
    <t xml:space="preserve">  3303-0122 FIT- TERRY FOX RUN DONATIONS</t>
  </si>
  <si>
    <t xml:space="preserve">  3304-0122 FIT - MISC. DONATIONS</t>
  </si>
  <si>
    <t xml:space="preserve">  5101-0122 FIT - TELEPHONE</t>
  </si>
  <si>
    <t xml:space="preserve">  5201-0122 FIT - PHOTOCOPYING</t>
  </si>
  <si>
    <t xml:space="preserve">  6301-0122 FIT - SHINERAMA EXPENSES</t>
  </si>
  <si>
    <t xml:space="preserve">  6303-0122 FIT- TERRY FOX RUN</t>
  </si>
  <si>
    <t xml:space="preserve">  6602-0122 FIT - DONATIONS PAID OUT</t>
  </si>
  <si>
    <t xml:space="preserve">  7001-0122 FIT - WAGES</t>
  </si>
  <si>
    <t xml:space="preserve">  7101-0122 FIT - BENEFITS</t>
  </si>
  <si>
    <t xml:space="preserve">  3303-0124 HORIZONS - FEE REVENUE</t>
  </si>
  <si>
    <t xml:space="preserve">  3802-0124 HORIZONS - OTHER REVENUE</t>
  </si>
  <si>
    <t xml:space="preserve">  5101-0124 HORIZONS - TELEPHONE</t>
  </si>
  <si>
    <t xml:space="preserve">  6103-0124 HORIZONS - ANNUAL CAMPAIGN</t>
  </si>
  <si>
    <t xml:space="preserve">  6501-0124 HORIZONS - ADV. &amp; PROMO.</t>
  </si>
  <si>
    <t xml:space="preserve">  6802-0124 HORIZONS - LEADER TRAINING</t>
  </si>
  <si>
    <t xml:space="preserve">  7001-0124 HORIZONS - WAGES</t>
  </si>
  <si>
    <t xml:space="preserve">  7101-0124 HORIZONS - BENEFITS</t>
  </si>
  <si>
    <t xml:space="preserve">  7401-0124 HRZN - BANK FEES</t>
  </si>
  <si>
    <t xml:space="preserve">  5003-0125 SPARK - OFFICE SUPPLIES</t>
  </si>
  <si>
    <t xml:space="preserve">  5101-0125 SPARK - TELEPHONE</t>
  </si>
  <si>
    <t xml:space="preserve">  6103-0125 SPARK - SPECIAL PROJECTS</t>
  </si>
  <si>
    <t xml:space="preserve">  6501-0125 SPARK - ADV. &amp; PROMOTION</t>
  </si>
  <si>
    <t xml:space="preserve">  6802-0125 SPARK - LEADER TRAINING</t>
  </si>
  <si>
    <t xml:space="preserve">  7001-0125 SPARK - WAGES</t>
  </si>
  <si>
    <t xml:space="preserve">  7101-0125 SPARK - BENEFITS</t>
  </si>
  <si>
    <t xml:space="preserve">  3301-0302 CLUB - CLUBSFEST REVENUE</t>
  </si>
  <si>
    <t xml:space="preserve">  3303-0302 CLUB - CHARITY EVENT REVENUE</t>
  </si>
  <si>
    <t xml:space="preserve">  3801-0302 CLUB - OTHER REVENUE</t>
  </si>
  <si>
    <t xml:space="preserve">  3802-0302 CLUB - RETURNED GRANTS</t>
  </si>
  <si>
    <t xml:space="preserve">  5003-0302 CLUB - OFFICE SUPPLIES</t>
  </si>
  <si>
    <t xml:space="preserve">  5101-0302 CLUB - TELEPHONE</t>
  </si>
  <si>
    <t xml:space="preserve">  5201-0302 CLUB - PHOTOCOPYING</t>
  </si>
  <si>
    <t xml:space="preserve">  5501-0302 CLUB - REPAIRS &amp; MTCE.</t>
  </si>
  <si>
    <t xml:space="preserve">  5915-0302 CLUB - LICENSE EXPENSE</t>
  </si>
  <si>
    <t xml:space="preserve">  6101-0302 CLUB - CLUBSFEST EXPENSE</t>
  </si>
  <si>
    <t xml:space="preserve">  6402-0302 CLUB - AWARDS &amp; MEETINGS</t>
  </si>
  <si>
    <t xml:space="preserve">  6501-0302 CLUB - ADV. &amp; PROMO.</t>
  </si>
  <si>
    <t xml:space="preserve">  6601-0302 CLUB - CLUB GRANTS</t>
  </si>
  <si>
    <t xml:space="preserve">  6602-0302 CLUB - CHARITY EVENT EXPENSE</t>
  </si>
  <si>
    <t xml:space="preserve">  6603-0302 CLUB - SPECIAL PROJECTS</t>
  </si>
  <si>
    <t xml:space="preserve">  7001-0302 CLUB - WAGES</t>
  </si>
  <si>
    <t xml:space="preserve">  7101-0302 CLUB - BENEFITS</t>
  </si>
  <si>
    <t xml:space="preserve">  7401-0302 CLUB - E BANK CHARGES</t>
  </si>
  <si>
    <t xml:space="preserve">  8001-0302 CLUB - DEPRECIATION EXPENSE</t>
  </si>
  <si>
    <t xml:space="preserve">  3801-0303 ELEC - OTHER REVENUE</t>
  </si>
  <si>
    <t xml:space="preserve">  5003-0303 ELEC - OFFICE SUPPLIES</t>
  </si>
  <si>
    <t xml:space="preserve">  5101-0303 ELEC - TELEPHONE</t>
  </si>
  <si>
    <t xml:space="preserve">  5201-0303 ELEC - PHOTOCOPYING</t>
  </si>
  <si>
    <t xml:space="preserve">  6102-0303 ELEC - PRESIDENTIAL REIMBURSEMENT</t>
  </si>
  <si>
    <t xml:space="preserve">  6201-0303 ELEC - ELECTION REFUNDS</t>
  </si>
  <si>
    <t xml:space="preserve">  6402-0303 ELEC - AWARDS &amp; MEETINGS</t>
  </si>
  <si>
    <t xml:space="preserve">  6501-0303 ELEC - ADV. &amp; PROMO.</t>
  </si>
  <si>
    <t xml:space="preserve">  6512-0303 ELEC - ADVERTISING - PRESIDENTIALS</t>
  </si>
  <si>
    <t xml:space="preserve">  6513-0303 ELEC - PROMOTIONS - SRA MARCH</t>
  </si>
  <si>
    <t xml:space="preserve">  6901-0303 ELEC - TRAVEL &amp; CONFERENCE</t>
  </si>
  <si>
    <t xml:space="preserve">  7001-0303 ELEC - WAGES</t>
  </si>
  <si>
    <t xml:space="preserve">  7101-0303 ELEC - BENEFITS</t>
  </si>
  <si>
    <t xml:space="preserve">  8001-0303 ELEC - DEPRECIATION EXPENSE</t>
  </si>
  <si>
    <t xml:space="preserve">  3301-0304 MACGREEN- FARMSTAND REVENUE</t>
  </si>
  <si>
    <t xml:space="preserve">  3601-0304 MACGREEN - TEACH GRDN - GRANTS</t>
  </si>
  <si>
    <t xml:space="preserve">  3801-0304 MACGREEN - OTHER REVENUE -</t>
  </si>
  <si>
    <t xml:space="preserve">  5003-0304 MACGREEN - OFFICE SUPPLIES</t>
  </si>
  <si>
    <t xml:space="preserve">  5101-0304 MACGREEN - TELEPHONE</t>
  </si>
  <si>
    <t xml:space="preserve">  5201-0304 MACGREEN - PHOTOCOPYING</t>
  </si>
  <si>
    <t xml:space="preserve">  6102-0304 MACGREEN - ANNUAL CAMPAIGNS</t>
  </si>
  <si>
    <t xml:space="preserve">  6402-0304 MACGREEN - AWARDS &amp; MEETINGS</t>
  </si>
  <si>
    <t xml:space="preserve">  6501-0304 MACGREEN - ADV. &amp; PROMO.</t>
  </si>
  <si>
    <t xml:space="preserve">  6602-0304 MACGREEN - TEACHING GARDEN</t>
  </si>
  <si>
    <t xml:space="preserve">  6603-0304 MACGREEN - SPECIAL PROJECTS</t>
  </si>
  <si>
    <t xml:space="preserve">  6604-0304 MACGREEN - FARM STAND</t>
  </si>
  <si>
    <t xml:space="preserve">  7001-0304 MACGREEN - WAGES</t>
  </si>
  <si>
    <t xml:space="preserve">  7101-0304 MACGREEN - BENEFITS</t>
  </si>
  <si>
    <t xml:space="preserve">  8001-0304 MACGREEN - DEPRECIATION EXPENSE</t>
  </si>
  <si>
    <t xml:space="preserve">  3801-0305 EXEC - OTHER REVENUE</t>
  </si>
  <si>
    <t xml:space="preserve">  3802-0305 EXEC - WOMENS SUMMIT - REV</t>
  </si>
  <si>
    <t xml:space="preserve">  5003-0305 EXEC - OFFICE SUPPLIES</t>
  </si>
  <si>
    <t xml:space="preserve">  5101-0305 EXEC - TELEPHONE</t>
  </si>
  <si>
    <t xml:space="preserve">  5201-0305 EXEC - PHOTOCOPYING</t>
  </si>
  <si>
    <t xml:space="preserve">  5905-0305 EXEC - OUSA MEMBERSHIP</t>
  </si>
  <si>
    <t xml:space="preserve">  6147-0305 EXEC - VOLUNTEER RECOGNITION</t>
  </si>
  <si>
    <t xml:space="preserve">  6303-0305 SRA - SPECIAL PROJECTS</t>
  </si>
  <si>
    <t xml:space="preserve">  6401-0305 EXEC - HONOUR M RINGS</t>
  </si>
  <si>
    <t xml:space="preserve">  6402-0305 EXEC - AWARDS &amp; MEETINGS - SRA</t>
  </si>
  <si>
    <t xml:space="preserve">  6403-0305 EXEC - SRA SUMMER MEETINGS</t>
  </si>
  <si>
    <t xml:space="preserve">  6404-0305 EXEC - MSU GENERAL MEETING</t>
  </si>
  <si>
    <t xml:space="preserve">  6405-0305 EXEC - EXEC MEETINGS</t>
  </si>
  <si>
    <t xml:space="preserve">  6407-0305 EXEC - YEAR END SOCIAL</t>
  </si>
  <si>
    <t xml:space="preserve">  6408-0305 EXEC - SPEAKERS</t>
  </si>
  <si>
    <t xml:space="preserve">  6410-0305 EXEC - PT MERIT</t>
  </si>
  <si>
    <t xml:space="preserve">  6491-0305 EXEC - DONATION AWARDS</t>
  </si>
  <si>
    <t xml:space="preserve">  6555-0305 EXEC - ADVERTISING - PRESIDENTS PAGE</t>
  </si>
  <si>
    <t xml:space="preserve">  6565-0305 EXEC - PROMOTIONAL - CLOTHING</t>
  </si>
  <si>
    <t xml:space="preserve">  6595-0305 EXEC - ELECTION AWARENESS</t>
  </si>
  <si>
    <t xml:space="preserve">  6602-0305 EXEC - MSU MERIT</t>
  </si>
  <si>
    <t xml:space="preserve">  6603-0305 EXEC - SPECIAL PROJECTS</t>
  </si>
  <si>
    <t xml:space="preserve">  6604-0305 EXEC - EDUCATIONAL INITIATIVES</t>
  </si>
  <si>
    <t xml:space="preserve">  6613-0305 EXEC - EXPENSE ACCOUNT GM</t>
  </si>
  <si>
    <t xml:space="preserve">  6614-0305 EXEC - EXPENSE ACCOUNT PRESIDENT</t>
  </si>
  <si>
    <t xml:space="preserve">  6615-0305 EXEC - EXPENSE ACCOUNT VP ADMIN</t>
  </si>
  <si>
    <t xml:space="preserve">  6616-0305 EXEC - EXPENSE ACCOUNT VP EDUCATION</t>
  </si>
  <si>
    <t xml:space="preserve">  6617-0305 EXEC - EXPENSE ACCOUNT VP FINANCE</t>
  </si>
  <si>
    <t xml:space="preserve">  6801-0305 EXEC - MGMT TRAINING</t>
  </si>
  <si>
    <t xml:space="preserve">  6802-0305 EXEC - TRANSITION TRAINING</t>
  </si>
  <si>
    <t xml:space="preserve">  6901-0305 EXEC - TRAVEL &amp; CONFERENCE-BoD</t>
  </si>
  <si>
    <t xml:space="preserve">  6903-0305 EXEC - TRAVEL - GM</t>
  </si>
  <si>
    <t xml:space="preserve">  6912-0305 EXEC - TRAVEL - CONFERENCE BoD</t>
  </si>
  <si>
    <t xml:space="preserve">  6913-0305 EXEC - TRAVEL - CONFERENCE GM</t>
  </si>
  <si>
    <t xml:space="preserve">  7001-0305 EXEC - WAGES</t>
  </si>
  <si>
    <t xml:space="preserve">  7101-0305 EXEC - BENEFITS</t>
  </si>
  <si>
    <t xml:space="preserve">  8001-0305 EXEC - DEPRECIATION EXPENSE</t>
  </si>
  <si>
    <t xml:space="preserve">  8501-0305 EXEC - HST/GST EXPENSE</t>
  </si>
  <si>
    <t xml:space="preserve">  3801-0306 SCSN - OTHER REVENUE</t>
  </si>
  <si>
    <t xml:space="preserve">  5003-0306 SCSN - OFFICE SUPPLIES</t>
  </si>
  <si>
    <t xml:space="preserve">  5010-0306 SCSN - POSTAGE</t>
  </si>
  <si>
    <t xml:space="preserve">  5101-0306 SCSN - TELEPHONE</t>
  </si>
  <si>
    <t xml:space="preserve">  5201-0306 SCSN - PHOTOCOPYING</t>
  </si>
  <si>
    <t xml:space="preserve">  6102-0306 SCSN - ANNUAL CAMPAIGNS</t>
  </si>
  <si>
    <t xml:space="preserve">  6402-0306 SCSN - VOLUNTEER RECOGNITION</t>
  </si>
  <si>
    <t xml:space="preserve">  6501-0306 SCSN - ADV. &amp; PROMO.</t>
  </si>
  <si>
    <t xml:space="preserve">  6804-0306 SCSN - TRAINING</t>
  </si>
  <si>
    <t xml:space="preserve">  6901-0306 SCSN - TRAVEL &amp; CONFERENCE</t>
  </si>
  <si>
    <t xml:space="preserve">  7001-0306 SCSN - WAGES</t>
  </si>
  <si>
    <t xml:space="preserve">  7101-0306 SCSN - BENEFITS</t>
  </si>
  <si>
    <t xml:space="preserve">  8001-0306 SCSN - DEPRECIATION EXPENSE</t>
  </si>
  <si>
    <t xml:space="preserve">  5003-0308 WGEN - OFFICE SUPPLIES</t>
  </si>
  <si>
    <t xml:space="preserve">  5101-0308 WGEN - TELEPHONE - EQUIPMENT</t>
  </si>
  <si>
    <t xml:space="preserve">  6103-0308 WGEN - SPECIAL PROJECTS</t>
  </si>
  <si>
    <t xml:space="preserve">  6501-0308 WGEN - ADV. &amp; PROMOTION</t>
  </si>
  <si>
    <t xml:space="preserve">  6804-0308 WGEN - TRAINING EXPENSE</t>
  </si>
  <si>
    <t xml:space="preserve">  7001-0308 WGEN - WAGES</t>
  </si>
  <si>
    <t xml:space="preserve">  7101-0308 WGEN - BENEFITS</t>
  </si>
  <si>
    <t xml:space="preserve">  3801-0310 PRL - OTHER REVENUE</t>
  </si>
  <si>
    <t xml:space="preserve">  5003-0310 PRL - OFFICE SUPPLIES</t>
  </si>
  <si>
    <t xml:space="preserve">  5101-0310 PRL - TELEPHONE</t>
  </si>
  <si>
    <t xml:space="preserve">  5201-0310 PRL - PHOTOCOPYING</t>
  </si>
  <si>
    <t xml:space="preserve">  5405-0310 PRL - MINOR OFFICE EQUIPMENT</t>
  </si>
  <si>
    <t xml:space="preserve">  5901-0310 PRL - SUBSCRIPTIONS &amp; MEMB.</t>
  </si>
  <si>
    <t xml:space="preserve">  6501-0310 PRL - ADV. &amp; PROMO.</t>
  </si>
  <si>
    <t xml:space="preserve">  6555-0310 PRL - ADV - PRESIDENT'S PAGE</t>
  </si>
  <si>
    <t xml:space="preserve">  6595-0310 PRL - SIL ADVERTISING</t>
  </si>
  <si>
    <t xml:space="preserve">  6603-0310 PRL - SPECIAL PROJECTS</t>
  </si>
  <si>
    <t xml:space="preserve">  6612-0310 PRL - EXPENSE ACCOUNT</t>
  </si>
  <si>
    <t xml:space="preserve">  6901-0310 PRL - TRAVEL - GENERAL</t>
  </si>
  <si>
    <t xml:space="preserve">  6912-0310 PRL - TRAVEL - CONFERENCE</t>
  </si>
  <si>
    <t xml:space="preserve">  7001-0310 PRL -  WAGES</t>
  </si>
  <si>
    <t xml:space="preserve">  7101-0310 PRL - BENEFITS</t>
  </si>
  <si>
    <t xml:space="preserve">  8001-0310 PRL - DEPRECIATION EXPENSE</t>
  </si>
  <si>
    <t xml:space="preserve">  5003-0312 TCHA - OFFICE SUPPLIES</t>
  </si>
  <si>
    <t xml:space="preserve">  5101-0312 TCHA - TELEPHONE</t>
  </si>
  <si>
    <t xml:space="preserve">  5201-0312 TCHA - PHOTOCOPYING</t>
  </si>
  <si>
    <t xml:space="preserve">  6401-0312 TCHA - AWARDS &amp; MEETINGS</t>
  </si>
  <si>
    <t xml:space="preserve">  6501-0312 TCHA - ADV. &amp; PROMO.</t>
  </si>
  <si>
    <t xml:space="preserve">  7001-0312 TCHA - WAGES</t>
  </si>
  <si>
    <t xml:space="preserve">  7101-0312 TCHA - BENEFITS</t>
  </si>
  <si>
    <t xml:space="preserve">  5003-0316 PEER - OFFICE SUPPLIES</t>
  </si>
  <si>
    <t xml:space="preserve">  5101-0316 PEER - TELEPHONE</t>
  </si>
  <si>
    <t xml:space="preserve">  5201-0316 PEER - PHOTOCOPYING</t>
  </si>
  <si>
    <t xml:space="preserve">  6102-0316 PEER - ANNUAL CAMPAIGNS</t>
  </si>
  <si>
    <t xml:space="preserve">  6501-0316 PEER - ADV. &amp; PROMO</t>
  </si>
  <si>
    <t xml:space="preserve">  6804-0316 PEER - VOLUNTEER TRAINING</t>
  </si>
  <si>
    <t xml:space="preserve">  6901-0316 PEER - TRAVEL &amp; CONFERENCE</t>
  </si>
  <si>
    <t xml:space="preserve">  7001-0316 PEER - WAGES</t>
  </si>
  <si>
    <t xml:space="preserve">  7101-0316 PEER - BENEFITS</t>
  </si>
  <si>
    <t xml:space="preserve">  8001-0316 PEER - DEPRECIATION EXP.</t>
  </si>
  <si>
    <t xml:space="preserve">  3301-0317 DIV - EVENT REVENUE</t>
  </si>
  <si>
    <t xml:space="preserve">  3801-0317 DIV - DONATIONS</t>
  </si>
  <si>
    <t xml:space="preserve">  5003-0317 DIV - OFFICE SUPPLIES</t>
  </si>
  <si>
    <t xml:space="preserve">  5101-0317 DIV - TELEPHONE</t>
  </si>
  <si>
    <t xml:space="preserve">  5201-0317 DIV - PHOTOCOPYING</t>
  </si>
  <si>
    <t xml:space="preserve">  6102-0317 DIV - ANNUAL CAMPAIGNS</t>
  </si>
  <si>
    <t xml:space="preserve">  6501-0317 DIV - ADV. &amp; PROMO.</t>
  </si>
  <si>
    <t xml:space="preserve">  6804-0317 DIV - VOLUNTEER RECOGNITION</t>
  </si>
  <si>
    <t xml:space="preserve">  7001-0317 DIV - WAGES</t>
  </si>
  <si>
    <t xml:space="preserve">  7101-0317 DIV - BENEFITS</t>
  </si>
  <si>
    <t xml:space="preserve">  8001-0317 DIV - DEPRECIATION EXPENSE</t>
  </si>
  <si>
    <t xml:space="preserve">  3301-0318 BREAD BIN - FOODBOX  REVENUE</t>
  </si>
  <si>
    <t xml:space="preserve">  5003-0318 BREAD BIN - OFFICE SUPPLIES</t>
  </si>
  <si>
    <t xml:space="preserve">  5101-0318 BREAD BIN - TELEPHONE</t>
  </si>
  <si>
    <t xml:space="preserve">  5201-0318 BREAD BIN - PHOTOCOPYING</t>
  </si>
  <si>
    <t xml:space="preserve">  6501-0318 BREAD BIN - ADV. &amp; PROMO.</t>
  </si>
  <si>
    <t xml:space="preserve">  6603-0318 BREAD BIN - RESERVE</t>
  </si>
  <si>
    <t xml:space="preserve">  7001-0318 BREAD BIN - WAGES</t>
  </si>
  <si>
    <t xml:space="preserve">  7101-0318 BREAD BIN - BENEFITS</t>
  </si>
  <si>
    <t xml:space="preserve">  3801-0319 FYC - OTHER REVENUE</t>
  </si>
  <si>
    <t xml:space="preserve">  5101-0319 FYC - TELEPHONE</t>
  </si>
  <si>
    <t xml:space="preserve">  5201-0319 FYC - PHOTOCOPYING</t>
  </si>
  <si>
    <t xml:space="preserve">  6102-0319 FYC - ANNUAL CAMPAIGNS</t>
  </si>
  <si>
    <t xml:space="preserve">  6402-0319 FYC - AWARDS &amp; MEETINGS</t>
  </si>
  <si>
    <t xml:space="preserve">  6403-0319 FYC - VOLUNTEER RECOGNITION</t>
  </si>
  <si>
    <t xml:space="preserve">  6501-0319 FYC - ADV. &amp; PROMO.</t>
  </si>
  <si>
    <t xml:space="preserve">  Dept. 0109 - Compass Info Centre - All</t>
  </si>
  <si>
    <t xml:space="preserve">  Dept. 0112 - Ombuds Office - All</t>
  </si>
  <si>
    <t xml:space="preserve">  Dept. 0113 - Campus Events - All</t>
  </si>
  <si>
    <t xml:space="preserve">  Dept. 0115 - The Silhouette - All</t>
  </si>
  <si>
    <t xml:space="preserve">  3001-0109 COMPASS - SALES- HSR TICKETS</t>
  </si>
  <si>
    <t xml:space="preserve">  3005-0109 COMPASS - COMM. - TICKET SALES</t>
  </si>
  <si>
    <t xml:space="preserve">  3015-0109 COMPASS - SALES - NOW PREPAID</t>
  </si>
  <si>
    <t xml:space="preserve">  3053-0109 COMPASS - ABOUTTOWN TICKETS</t>
  </si>
  <si>
    <t xml:space="preserve">  3054-0109 COMPASS - SALES - GREYHOUND TICKETS</t>
  </si>
  <si>
    <t xml:space="preserve">  3055-0109 COMPASS- SALES -  GO TICKETS</t>
  </si>
  <si>
    <t xml:space="preserve">  3056-0109 COMPASS- SALES - COACH CDA TICKETS</t>
  </si>
  <si>
    <t xml:space="preserve">  3057-0109 COMPASS - COMMISSION REVENUE</t>
  </si>
  <si>
    <t xml:space="preserve">  3111-0109 COMPASS - ADVERTISING SALES</t>
  </si>
  <si>
    <t xml:space="preserve">  3302-0109 COMPASS - MERCHANDISE (Constant)</t>
  </si>
  <si>
    <t xml:space="preserve">  3303-0109 COMPASS - THIRD PARTY</t>
  </si>
  <si>
    <t xml:space="preserve">  3701-0109 COMPASS - GO - B/C CONTRIBUTIONS</t>
  </si>
  <si>
    <t xml:space="preserve">  3801-0109 COMPASS- MISC. REVENUE</t>
  </si>
  <si>
    <t xml:space="preserve">  4001-0109 COMPASS - COS - HSR/BT TICKETS</t>
  </si>
  <si>
    <t xml:space="preserve">  4015-0109 COMPASS - COS - NOW PREPAID</t>
  </si>
  <si>
    <t xml:space="preserve">  4053-0109 COMPASS- COS ABOUTOWN</t>
  </si>
  <si>
    <t xml:space="preserve">  4054-0109 COMPASS - COS - GREYHOUND</t>
  </si>
  <si>
    <t xml:space="preserve">  4055-0109 COMPASS - COS - GO TRANSIT</t>
  </si>
  <si>
    <t xml:space="preserve">  4056-0109 COMPASS - COS - COACH CDA</t>
  </si>
  <si>
    <t xml:space="preserve">  4057-0109 COMPASS- SCARBOROUGH TRANSIT</t>
  </si>
  <si>
    <t xml:space="preserve">  4302-0109 COMPASS - COS - MERCHANDISE (Constant)</t>
  </si>
  <si>
    <t xml:space="preserve">  5003-0109 COMPASS - OFFICE SUPPLIES</t>
  </si>
  <si>
    <t xml:space="preserve">  5101-0109 COMPASS - TELEPHONE</t>
  </si>
  <si>
    <t xml:space="preserve">  5201-0109 COMPASS - PHOTOCOPYING</t>
  </si>
  <si>
    <t xml:space="preserve">  5301-0109 COMPASS - CLEANING SUPPLIES</t>
  </si>
  <si>
    <t xml:space="preserve">  5501-0109 COMPASS - REPAIRS &amp; MTCE.</t>
  </si>
  <si>
    <t xml:space="preserve">  6303-0109 COMPASS - THIRD PARTY EXP.</t>
  </si>
  <si>
    <t xml:space="preserve">  6402-0109 COMPASS - AWARDS &amp; MEETINGS</t>
  </si>
  <si>
    <t xml:space="preserve">  6403-0109 COMPASS - STAFF TRAINING</t>
  </si>
  <si>
    <t xml:space="preserve">  6501-0109 COMPASS - ADV. &amp; PROMO.</t>
  </si>
  <si>
    <t xml:space="preserve">  6701-0109 COMPASS - UNIFORMS</t>
  </si>
  <si>
    <t xml:space="preserve">  6715-0109 COMPASS - PURCHASED SERVICES</t>
  </si>
  <si>
    <t xml:space="preserve">  6901-0109 COMPASS - TRAVEL &amp; CONFERENCE</t>
  </si>
  <si>
    <t xml:space="preserve">  7001-0109 COMPASS - WAGES</t>
  </si>
  <si>
    <t xml:space="preserve">  7101-0109 COMPASS - BENEFITS</t>
  </si>
  <si>
    <t xml:space="preserve">  7401-0109 COMPASS - BANK CHARGES</t>
  </si>
  <si>
    <t xml:space="preserve">  7515-0109 COMPASS - CASH (OVER)/SHORT</t>
  </si>
  <si>
    <t xml:space="preserve">  8001-0109 COMPASS - DEPRECIATION EXPENSE</t>
  </si>
  <si>
    <t xml:space="preserve">  8501-0109 COMPASS - HST/ GST EXPENSE</t>
  </si>
  <si>
    <t xml:space="preserve">  5003-0112 OMBD - OFFICE SUPPLIES</t>
  </si>
  <si>
    <t xml:space="preserve">  5101-0112 OMBD - TELEPHONE</t>
  </si>
  <si>
    <t xml:space="preserve">  5201-0112 OMBD - PHOTOCOPYING</t>
  </si>
  <si>
    <t xml:space="preserve">  5301-0112 OMBD - COMP. SUPP. &amp; SOFTWARE</t>
  </si>
  <si>
    <t xml:space="preserve">  5501-0112 OMBD - REPAIRS &amp; MTCE.</t>
  </si>
  <si>
    <t xml:space="preserve">  5905-0112 OMBD - MEMBERSHIPS</t>
  </si>
  <si>
    <t xml:space="preserve">  6501-0112 OMBD - ADV. &amp; PROMO.</t>
  </si>
  <si>
    <t xml:space="preserve">  6601-0112 OMBD - TRANSFER TO UNIVERSITY</t>
  </si>
  <si>
    <t xml:space="preserve">  6901-0112 OMBD - TRAVEL &amp; CONFERENCE</t>
  </si>
  <si>
    <t xml:space="preserve">  7001-0112 OMBD - WAGES</t>
  </si>
  <si>
    <t xml:space="preserve">  7101-0112 OMBD - BENEFITS</t>
  </si>
  <si>
    <t xml:space="preserve">  7351-0112 OMBD - PROFESSIONAL FEES</t>
  </si>
  <si>
    <t xml:space="preserve">  7599-0112 OMBD - OVERHEAD</t>
  </si>
  <si>
    <t xml:space="preserve">  8001-0112 OMBD- DEPRECIATION EXPENSE</t>
  </si>
  <si>
    <t xml:space="preserve">  3001-0113 CMPV - SALES OF GOODS</t>
  </si>
  <si>
    <t xml:space="preserve">  3301-0113 CMPV - ORIENTATION -SIDEWALK</t>
  </si>
  <si>
    <t xml:space="preserve">  3308-0113 CMPV - ANNUAL - GOLF TOUNAMENT</t>
  </si>
  <si>
    <t xml:space="preserve">  3315-0113 CMPV - ORIENTATION - SPONSORSHIP</t>
  </si>
  <si>
    <t xml:space="preserve">  3321-0113 CMPV - HOMECOMING</t>
  </si>
  <si>
    <t xml:space="preserve">  3399-0113 CMPV - IMAGINUS</t>
  </si>
  <si>
    <t xml:space="preserve">  3495-0113 CMPV - COCA REVENUE</t>
  </si>
  <si>
    <t xml:space="preserve">  3501-0113 CMPV - OTHER  EVENTS</t>
  </si>
  <si>
    <t xml:space="preserve">  3511-0113 CMPV - EVENTS- SPEAKERS</t>
  </si>
  <si>
    <t xml:space="preserve">  3531-0113 CMPV - TWELVE 80 EVENTS</t>
  </si>
  <si>
    <t xml:space="preserve">  3601-0113 CMPV - EXTERNAL</t>
  </si>
  <si>
    <t xml:space="preserve">  3602-0113 CMPV - MUSC</t>
  </si>
  <si>
    <t xml:space="preserve">  3603-0113 CMPV - INTERNAL</t>
  </si>
  <si>
    <t xml:space="preserve">  3802-0113 CMPV - CHARITY BALL</t>
  </si>
  <si>
    <t xml:space="preserve">  4001-0113 CMPV - COST OF GOODS SOLD</t>
  </si>
  <si>
    <t xml:space="preserve">  5003-0113 CMPV - OFFICE SUPPLIES</t>
  </si>
  <si>
    <t xml:space="preserve">  5010-0113 CMPV - POSTAGE</t>
  </si>
  <si>
    <t xml:space="preserve">  5101-0113 CMPV - TELEPHONE</t>
  </si>
  <si>
    <t xml:space="preserve">  5201-0113 CMPV - PHOTOCOPYING</t>
  </si>
  <si>
    <t xml:space="preserve">  5501-0113 CMPV - REPAIRS &amp; MTCE.</t>
  </si>
  <si>
    <t xml:space="preserve">  5715-0113 CMPV - RENT EXPENSE - EQUIPMENT</t>
  </si>
  <si>
    <t xml:space="preserve">  5901-0113 CMPV - SUBSCRIPTIONS</t>
  </si>
  <si>
    <t xml:space="preserve">  5905-0113 CMPV - MEMBERSHIPS</t>
  </si>
  <si>
    <t xml:space="preserve">  5915-0113 CMPV - SOCAN LICENSE FEES</t>
  </si>
  <si>
    <t xml:space="preserve">  6001-0113 CMPV - TWELVE 80 ENTERTAINMENT</t>
  </si>
  <si>
    <t xml:space="preserve">  6011-0113 CMPV  - SPEAKERS</t>
  </si>
  <si>
    <t xml:space="preserve">  6103-0113 CMPV - CHRISTMAS PARADE FLOAT</t>
  </si>
  <si>
    <t xml:space="preserve">  6108-0113 CMPV - GOLF TOURNAMENT</t>
  </si>
  <si>
    <t xml:space="preserve">  6146-0113 CMPV - MSU EGG NOG</t>
  </si>
  <si>
    <t xml:space="preserve">  6147-0113 CMPV - STAFF RECOGNITION</t>
  </si>
  <si>
    <t xml:space="preserve">  6301-0113 CMPV - SIDEWALK SALE</t>
  </si>
  <si>
    <t xml:space="preserve">  6302-0113 CMPV - ORIENT - MAC PASS</t>
  </si>
  <si>
    <t xml:space="preserve">  6303-0113 CMPV -  ORIENT - EXPENSES</t>
  </si>
  <si>
    <t xml:space="preserve">  6304-0113 CMPV - ORIENT - CASINO</t>
  </si>
  <si>
    <t xml:space="preserve">  6305-0113 CMPV - ORIENT - MAC CONNECTOR</t>
  </si>
  <si>
    <t xml:space="preserve">  6307-0113 CMPV - ORIENT - T-SHIRTS</t>
  </si>
  <si>
    <t xml:space="preserve">  6310-0113 CMPV - ORIENT - PRODUCTION EXP.</t>
  </si>
  <si>
    <t xml:space="preserve">  6311-0113 CMPV - ORIENT - MISC. EVENTS</t>
  </si>
  <si>
    <t xml:space="preserve">  6312-0113 CMPV - ORIENT - SAT CONCERT</t>
  </si>
  <si>
    <t xml:space="preserve">  6321-0113 CMPV - HOMECOMING CONCERT</t>
  </si>
  <si>
    <t xml:space="preserve">  6328-0113 CMPV - CHARITY BALL</t>
  </si>
  <si>
    <t xml:space="preserve">  6331-0113 CMPV - EVENTS - MISCELLANEOUS</t>
  </si>
  <si>
    <t xml:space="preserve">  6402-0113 CMPV - AWARDS &amp; MEETINGS</t>
  </si>
  <si>
    <t xml:space="preserve">  6494-0113 CMPV - VOLUNTEER RECOG. NIGHT</t>
  </si>
  <si>
    <t xml:space="preserve">  6495-0113 CMPV - COCA EXPENSES</t>
  </si>
  <si>
    <t xml:space="preserve">  6501-0113 CMPV - ADV. &amp; PROMO.</t>
  </si>
  <si>
    <t xml:space="preserve">  6602-0113 CMPV-AVTEK- PROMOTIONS</t>
  </si>
  <si>
    <t xml:space="preserve">  6603-0113 CMPV - PURCHASED SERVICES</t>
  </si>
  <si>
    <t xml:space="preserve">  6604-0113 CMPV - SUPPLIES</t>
  </si>
  <si>
    <t xml:space="preserve">  6901-0113 CMPV - TRAVEL - GENERAL</t>
  </si>
  <si>
    <t xml:space="preserve">  6912-0113 CMPV - TRAVEL - CONFERENCE</t>
  </si>
  <si>
    <t xml:space="preserve">  7001-0113 CMPV - WAGES</t>
  </si>
  <si>
    <t xml:space="preserve">  7101-0113 CMPV - BENEFITS</t>
  </si>
  <si>
    <t xml:space="preserve">  7515-0113 CMPV - CASH (OVER)/SHORT</t>
  </si>
  <si>
    <t xml:space="preserve">  8001-0113 CMPV - DEPRECIATION EXPENSE</t>
  </si>
  <si>
    <t xml:space="preserve">  8501-0113 CMPV -HST/  GST EXPENSE</t>
  </si>
  <si>
    <t xml:space="preserve">  3111-0115 SILH - ADVERTISING SALES</t>
  </si>
  <si>
    <t xml:space="preserve">  3112-0115 SILH - ADV. - CAMPUS NETWORK</t>
  </si>
  <si>
    <t xml:space="preserve">  3801-0115 SILH - OTHER REVENUE</t>
  </si>
  <si>
    <t xml:space="preserve">  5003-0115 SILH - OFFICE SUPPLIES</t>
  </si>
  <si>
    <t xml:space="preserve">  5010-0115 SILH - POSTAGE</t>
  </si>
  <si>
    <t xml:space="preserve">  5101-0115 SILH - TELEPHONE</t>
  </si>
  <si>
    <t xml:space="preserve">  5201-0115 SILH - PHOTOCOPYING</t>
  </si>
  <si>
    <t xml:space="preserve">  5203-0115 SILH - PRINTING EXPENSE</t>
  </si>
  <si>
    <t xml:space="preserve">  5205-0115 SILH - PHOTOGRAPHIC EXP</t>
  </si>
  <si>
    <t xml:space="preserve">  5252-0115 SILH - AD ARTWORK &amp; LAYOUT</t>
  </si>
  <si>
    <t xml:space="preserve">  5266-0115 SILH - BOUND VOLUME</t>
  </si>
  <si>
    <t xml:space="preserve">  5301-0115 SILH - COMP SUPPLY &amp; SOFTWARE</t>
  </si>
  <si>
    <t xml:space="preserve">  5501-0115 SILH - REPAIRS &amp; MTCE.</t>
  </si>
  <si>
    <t xml:space="preserve">  5901-0115 SILH - SUBSCRIPTIONS</t>
  </si>
  <si>
    <t xml:space="preserve">  5905-0115 SILH - MEMBERSHIPS</t>
  </si>
  <si>
    <t xml:space="preserve">  6494-0115 SILH - VOLUNTEER INCENT.</t>
  </si>
  <si>
    <t xml:space="preserve">  6501-0115 SILH - ADV. &amp; PROMO.</t>
  </si>
  <si>
    <t xml:space="preserve">  6715-0115 SILH - PURCHASED SERVICES</t>
  </si>
  <si>
    <t xml:space="preserve">  6801-0115 SILH - TRAINING &amp; DEVELOPMENT</t>
  </si>
  <si>
    <t xml:space="preserve">  6901-0115 SILH - TRAVEL - GENERAL</t>
  </si>
  <si>
    <t xml:space="preserve">  6912-0115 SILH - TRAVEL - CONFERENCE</t>
  </si>
  <si>
    <t xml:space="preserve">  7001-0115 SILH - WAGES</t>
  </si>
  <si>
    <t xml:space="preserve">  7051-0115 SILH - SALARIES - AD COMMISSIONS</t>
  </si>
  <si>
    <t xml:space="preserve">  7101-0115 SILH - BENEFITS</t>
  </si>
  <si>
    <t xml:space="preserve">  7515-0115 SILH - CASH (OVER)/SHORT</t>
  </si>
  <si>
    <t xml:space="preserve">  7591-0115 SILH - BAD DEBTS</t>
  </si>
  <si>
    <t xml:space="preserve">  8001-0115 SILH - DEPRECIATION EXPENSE</t>
  </si>
  <si>
    <t xml:space="preserve">  8501-0115 SILH - HST/ GST EXPENSE</t>
  </si>
  <si>
    <t xml:space="preserve">  3121-0501 CFMU - ADVERTISING SALES - RADIO</t>
  </si>
  <si>
    <t xml:space="preserve">  3206-0501 CFMU - FEES REVENUE</t>
  </si>
  <si>
    <t xml:space="preserve">  3612-0501 CFMU - GRANTS - MCMASTER UNIV.</t>
  </si>
  <si>
    <t xml:space="preserve">  3704-0501 CFMU - INT. INCOME - SECURITIES</t>
  </si>
  <si>
    <t xml:space="preserve">  3801-0501 CFMU - OTHER REVENUE</t>
  </si>
  <si>
    <t xml:space="preserve">  3803-0501 CFMU - PRODUCTION REVENUE</t>
  </si>
  <si>
    <t xml:space="preserve">  3831-0501 CFMU - FUNDRAISING REVENUE</t>
  </si>
  <si>
    <t xml:space="preserve">  5003-0501 CFMU - OFFICE SUPPLIES</t>
  </si>
  <si>
    <t xml:space="preserve">  5010-0501 CFMU - POSTAGE</t>
  </si>
  <si>
    <t xml:space="preserve">  5101-0501 CFMU - TELEPHONE</t>
  </si>
  <si>
    <t xml:space="preserve">  5201-0501 CFMU - PHOTOCOPYING</t>
  </si>
  <si>
    <t xml:space="preserve">  5203-0501 CFMU - PRINTING EXPENSE</t>
  </si>
  <si>
    <t xml:space="preserve">  5401-0501 CFMU - INSURANCE - BRDCST LIAB.</t>
  </si>
  <si>
    <t xml:space="preserve">  5501-0501 CFMU - REPAIRS &amp; MTCE.</t>
  </si>
  <si>
    <t xml:space="preserve">  5551-0501 CFMU- R&amp;M - COMPUTERS</t>
  </si>
  <si>
    <t xml:space="preserve">  5901-0501 CFMU - SUBSCRIPTIONS</t>
  </si>
  <si>
    <t xml:space="preserve">  5905-0501 CFMU - MEMBERSHIPS</t>
  </si>
  <si>
    <t xml:space="preserve">  6501-0501 CFMU - ADV. &amp; PROMO.</t>
  </si>
  <si>
    <t xml:space="preserve">  6715-0501 CFMU - PURCHASED SERVICES</t>
  </si>
  <si>
    <t xml:space="preserve">  6801-0501 CFMU - PROF. DEVELOPMENT</t>
  </si>
  <si>
    <t xml:space="preserve">  6901-0501 CFMU - TRAVEL - GENERAL</t>
  </si>
  <si>
    <t xml:space="preserve">  6912-0501 CFMU - TRAVEL - CONFERENCE</t>
  </si>
  <si>
    <t xml:space="preserve">  7001-0501 CFMU - WAGES</t>
  </si>
  <si>
    <t xml:space="preserve">  7051-0501 CFMU - SALARIES - AD COMMISSIONS</t>
  </si>
  <si>
    <t xml:space="preserve">  7101-0501 CFMU - BENEFITS</t>
  </si>
  <si>
    <t xml:space="preserve">  7591-0501 CFMU - BAD DEBTS</t>
  </si>
  <si>
    <t xml:space="preserve">  7599-0501 CFMU - OVERHEAD</t>
  </si>
  <si>
    <t xml:space="preserve">  8001-0501 CFMU - DEPRECIATION EXPENSE</t>
  </si>
  <si>
    <t xml:space="preserve">  8501-0501 CFMU - HST/ GST EXPENSE</t>
  </si>
  <si>
    <t xml:space="preserve">  3203-0602 MARMOR - FEES REVENUE</t>
  </si>
  <si>
    <t xml:space="preserve">  5003-0602 MARMOR - OFFICE SUPPLIES</t>
  </si>
  <si>
    <t xml:space="preserve">  5010-0602 MARMOR - POSTAGE</t>
  </si>
  <si>
    <t xml:space="preserve">  5101-0602 MARMOR - TELEPHONE</t>
  </si>
  <si>
    <t xml:space="preserve">  5203-0602 MARMOR - PRINTING EXPENSE</t>
  </si>
  <si>
    <t xml:space="preserve">  5205-0602 MARMOR - PHOTOGRAPHIC EXP</t>
  </si>
  <si>
    <t xml:space="preserve">  5213-0602 MARMOR - PRODUCTION EXPENSE</t>
  </si>
  <si>
    <t xml:space="preserve">  5501-0602 MAR2  CUR - REPAIRS &amp; MTCE.</t>
  </si>
  <si>
    <t xml:space="preserve">  6901-0602 MARMOR - TRAVEL - GENERAL</t>
  </si>
  <si>
    <t xml:space="preserve">  7001-0602 MARMOR - WAGES</t>
  </si>
  <si>
    <t xml:space="preserve">  7101-0602 MARMOR - BENEFITS</t>
  </si>
  <si>
    <t xml:space="preserve">  8001-0602 MARMOR - DEPRECIATION EXPENSE</t>
  </si>
  <si>
    <t xml:space="preserve">  Dept. 0901 - Health Plan Investments - All</t>
  </si>
  <si>
    <t xml:space="preserve">  6603-0904 SHP4 - TAX &amp; INTEREST</t>
  </si>
  <si>
    <t xml:space="preserve">  3704-0901 SHP1 - INVEST. INCOME - SECURITIES</t>
  </si>
  <si>
    <t xml:space="preserve">  3205-0701 BLDF - FEES REVENUE</t>
  </si>
  <si>
    <t xml:space="preserve">  5801-0701 BLDF - OCCUPANCY COSTS</t>
  </si>
  <si>
    <t xml:space="preserve">  3802-**** OPIRG - RENTAL INCOME</t>
  </si>
  <si>
    <t xml:space="preserve">  Dept. 1100 - Dental Plan Fund - All</t>
  </si>
  <si>
    <t xml:space="preserve">  Dept. 0904 - Health Plan Fund - All</t>
  </si>
  <si>
    <t xml:space="preserve">  3115-0115 SILH - ADVERTISING SALES - INT</t>
  </si>
  <si>
    <t xml:space="preserve">  Dept. 0202, 0206, 0207 - Rental Income Units - All</t>
  </si>
  <si>
    <t>Breakdown of Opt-Outs paid - Payment #1</t>
  </si>
  <si>
    <t>QTY</t>
  </si>
  <si>
    <t>MedMid CLS  - Health only</t>
  </si>
  <si>
    <t>MedMid CLS  - Health &amp; Dental</t>
  </si>
  <si>
    <t>MedMid CLS  - Dental only</t>
  </si>
  <si>
    <t>Regular Students - Health only</t>
  </si>
  <si>
    <t>Regular Students - Health &amp; Dental</t>
  </si>
  <si>
    <t>Regular Students - Dental only</t>
  </si>
  <si>
    <t>Breakdown of Opt-Outs paid - Payment #2</t>
  </si>
  <si>
    <t>TOTALS</t>
  </si>
  <si>
    <t>TOTAL STUDENTS - PER FEE REVENUE</t>
  </si>
  <si>
    <t xml:space="preserve">NET STUDENTS </t>
  </si>
  <si>
    <t>Fall Payment</t>
  </si>
  <si>
    <t>Winter Payment</t>
  </si>
  <si>
    <t>Health</t>
  </si>
  <si>
    <t>Regular Full-time Students</t>
  </si>
  <si>
    <t>Midwifery - Health &amp; Dental Insurance</t>
  </si>
  <si>
    <t>Medicine - Health &amp; Dental Insurance</t>
  </si>
  <si>
    <t>Child Life Studies - Health &amp; Dental Insurance</t>
  </si>
  <si>
    <t>Dental</t>
  </si>
  <si>
    <t>Total SHP</t>
  </si>
  <si>
    <t>Total Dent</t>
  </si>
  <si>
    <t>TOTAL Paid</t>
  </si>
  <si>
    <t>based on last year's rates</t>
  </si>
  <si>
    <t>based on last year's rates + 5% increase</t>
  </si>
  <si>
    <t>TOTAL</t>
  </si>
  <si>
    <t>plus 5%</t>
  </si>
  <si>
    <t>Profit/Adm</t>
  </si>
  <si>
    <t>Summer Payment - above</t>
  </si>
  <si>
    <t>Jan - April</t>
  </si>
  <si>
    <t>Prior Pd</t>
  </si>
  <si>
    <t>May - Dec</t>
  </si>
  <si>
    <t>*Estimated</t>
  </si>
  <si>
    <t>3801-0318 BREAD BIN - MEAL EXCHANGE REV</t>
  </si>
  <si>
    <t>7401-0318 BREAD BIN - BANK FEES</t>
  </si>
  <si>
    <t>Based on the Eight Months Ending December 31, 2014</t>
  </si>
  <si>
    <t>2812-1100</t>
  </si>
  <si>
    <t>2812-0402</t>
  </si>
  <si>
    <t>All By Fund:</t>
  </si>
  <si>
    <t xml:space="preserve">       TOTAL Operating Fund (including Marmor)</t>
  </si>
  <si>
    <t xml:space="preserve">       TOTAL CFMU Fund</t>
  </si>
  <si>
    <t xml:space="preserve">       TOTAL Student Health Plan Fund</t>
  </si>
  <si>
    <t xml:space="preserve">       TOTAL Dental Plan Fund</t>
  </si>
  <si>
    <t xml:space="preserve">       TOTAL Buildiing Fund </t>
  </si>
  <si>
    <t>% Incr/</t>
  </si>
  <si>
    <t>Decr</t>
  </si>
  <si>
    <t>bottled beer price point</t>
  </si>
  <si>
    <t>liquor price point</t>
  </si>
  <si>
    <t>draft beer price point</t>
  </si>
  <si>
    <t>coolers price point</t>
  </si>
  <si>
    <t>wine price point</t>
  </si>
  <si>
    <t>spoilage at 1/2 percent of sales</t>
  </si>
  <si>
    <t>pop price point</t>
  </si>
  <si>
    <t>food price point</t>
  </si>
  <si>
    <t xml:space="preserve">Not sure if we need this much money. I hardly used this budget line. </t>
  </si>
  <si>
    <t xml:space="preserve">I think it is important to keep trying to refresh and update the SHEC resources. Perhaps this budget line could be called "Health resources" instead - this would be more all-emcomapssing (could include videos, magazine subscriptions etc.). </t>
  </si>
  <si>
    <t>Reference Library - yes it's good to contually upgrade the SHEC resources, but if you only spend $400-$500 per year doing it, why should it be $750?</t>
  </si>
  <si>
    <t xml:space="preserve"> - Suggest this be lowered to $500</t>
  </si>
  <si>
    <t>5951-0116</t>
  </si>
  <si>
    <t>Training Expense - not sure where the extra "$10" came from - based on prior years, this should be reduced</t>
  </si>
  <si>
    <t>6804-0116</t>
  </si>
  <si>
    <t xml:space="preserve"> - Suggest this be lowered to $1,200</t>
  </si>
  <si>
    <t>Wages - should be increased by the approved CPI of 2.4%</t>
  </si>
  <si>
    <t>7001-0116</t>
  </si>
  <si>
    <t xml:space="preserve"> - Suggest this be increased to $5,300</t>
  </si>
  <si>
    <t>MAGGIE'S NOTES:</t>
  </si>
  <si>
    <t>NOTE - CPI for December 2014 (Ontario) is 2.4%</t>
  </si>
  <si>
    <t>a</t>
  </si>
  <si>
    <t>b</t>
  </si>
  <si>
    <t>c</t>
  </si>
  <si>
    <t>Note b - I changed acct 5715-0201 to zero ($0) - not really used</t>
  </si>
  <si>
    <t>Note c - I changed depreciation 8001-0201 to cooincide with my calculations.</t>
  </si>
  <si>
    <t>Note a - I changed acct 3801-0201 to better reflect what we receive - the projected amount was too high.</t>
  </si>
  <si>
    <t>Additional changes that may or may not be needed:</t>
  </si>
  <si>
    <t xml:space="preserve">     Calculate wages at 25% of sales</t>
  </si>
  <si>
    <t xml:space="preserve">     Calculate benefits at 8% of wages</t>
  </si>
  <si>
    <t xml:space="preserve">     Calculate spoilage at 1/2 percentage of COS</t>
  </si>
  <si>
    <t xml:space="preserve">     Calculate COS at 60% of sales to maintain a 40% profit margin (current amount gives a 37.5% profit margin)</t>
  </si>
  <si>
    <t>Maggie's changes:</t>
  </si>
  <si>
    <t>Note - depreciation is adjusted to reflect Maggie's calculations.</t>
  </si>
  <si>
    <t>Note - depreciation changed per Maggie's calculations</t>
  </si>
  <si>
    <t>Depreciation per Maggie's calculations.</t>
  </si>
  <si>
    <t>bold &amp; highlighted items - added by Maggie</t>
  </si>
  <si>
    <t>Balances adjusted to even numbers by Maggie</t>
  </si>
  <si>
    <t>Plus a New Athletics Line that Scott and I have already discussed  - (amount to be decided?)</t>
  </si>
  <si>
    <t>Since the future of Maroons Formal (our only form of revenue) is unclear, I think it would be beneficial if we had to worry less about getting revenue from our events. If this means decreasing the amount in Annual Campaigns that could also work.</t>
  </si>
  <si>
    <t xml:space="preserve">I put this amount based on the $1500 difference between the Uniforms budget and the revenues. </t>
  </si>
  <si>
    <t>This year, suits were a bit more expensive, we had a larger team which meant more jerseys, and we had a large number of new Maroons who had to purchase suits. To ensure that the budget remains more stable in future years, the new coordinator plans to set 60 as the maximum number of reps for the team.</t>
  </si>
  <si>
    <t>I put this amount based on the year end projection</t>
  </si>
  <si>
    <t>To keep in line with the Projected 14/15 Year End figures and increase a small amount to account for any additional charges</t>
  </si>
  <si>
    <t>To keep in line with the 14/15 Budget</t>
  </si>
  <si>
    <t>To keep in line with the Projected 14/15 Year End figures</t>
  </si>
  <si>
    <t>No expected returned grants</t>
  </si>
  <si>
    <t>To keep in line with the 14/15 Budget; painting of the offices and ClubSpace during the summer</t>
  </si>
  <si>
    <t>Criterion Pictures increased their licensing fee by $50 for the 14/15 year; I have increased this line by a small amount to account for any further increases</t>
  </si>
  <si>
    <t>I would like to increase this by $15 000 because I believe that since the Clubs department is changing and growing over the years, events are becoming larger in scale and more expensive. Sometimes, the funding clubs get from the MSU is minimal (which is given because there are currently 338 clubs) but clubs span more than ~20% of the undergraduate student population (338 clubs * 14 members over 22 000 students). Clubs are supposed to be self-directed by students, but if we could increase their funding by even $50, that could cover a small portion of their programming. This would in turn result in greater events and produce less anxiety from the event planning perspective</t>
  </si>
  <si>
    <t>To keep in line with the 14/15 Budget. Expenses not reflected as the event will take place the beginning of March.</t>
  </si>
  <si>
    <t xml:space="preserve">I would like to increase this by $4000 because I have almost diminished my funds for the 14/15 year. There has been an increase in collaboration between clubs who are having bigger events this year. I can only forsee SPF applications increasing in the following years and becoming an issue if the SPF line is nill before the end of the academic season. </t>
  </si>
  <si>
    <r>
      <t xml:space="preserve">With the hopeful increase in the Assistant Clubs Administrator's hours (from 8 hours a week to 14 hours a week), this line should increase. 14 hours a week, working 9 months (August-April), getting compensated $12/hour = $6048. </t>
    </r>
    <r>
      <rPr>
        <b/>
        <sz val="10"/>
        <rFont val="Times New Roman"/>
        <family val="1"/>
      </rPr>
      <t/>
    </r>
  </si>
  <si>
    <t>a - Office supplies can be reduced - haven't spent more than $250 in over 3 years.</t>
  </si>
  <si>
    <t>b - Repairs &amp; mtce can be reduced - only $400 applied to this account in last 3 years.</t>
  </si>
  <si>
    <t>c - Amount budgeted has never been fully used - should be reduced.</t>
  </si>
  <si>
    <t>d</t>
  </si>
  <si>
    <t>d - Seeing as this amount has never been fully utilized, the current budget of $95,000 should be sufficient even with the $50 increase.</t>
  </si>
  <si>
    <t>Federal Election</t>
  </si>
  <si>
    <t>Depreciation adjusted per Maggie's calculations.</t>
  </si>
  <si>
    <t>Being up in the MSU Office, we don't need to buy too many office supplies</t>
  </si>
  <si>
    <t>I don't see the need to photocopy a lot so I would reduce this budget line</t>
  </si>
  <si>
    <t>With the loss of Change Camp from our service, I would keep the money the same but use the extra money for summer DYC programming</t>
  </si>
  <si>
    <t>I would increase volunteer recognition because sometimes we're strapped for money when we want to do things as a team</t>
  </si>
  <si>
    <t>I would leave this budget the same because it has been sufficient for us for the past year and I can see extra money being used for more summer promo</t>
  </si>
  <si>
    <t>I would leave this the same as I don't see the costs changing</t>
  </si>
  <si>
    <t>Highlighted amounts filled in by Maggie</t>
  </si>
  <si>
    <t>Office supplies facilitates my office, as well as that of the Communications Officer and also often absorbs PTM training materials when neccessary.  Last year's frop to $200 was linkly due in part to the fact that PTM training happens in April and was not reconcilled yet</t>
  </si>
  <si>
    <t>I have some ideas for small cameras and coresponsing accessories that are too small for a capital request, but will require more than the $500 allocated in this line</t>
  </si>
  <si>
    <t>I continue to absorb non-indentified costs throughout the organization. Also, as our services grow in both size and number, so to does the breadth and volume of promo matreials required.  This line facilitates all MSU related materials as well as accents all services and departments.  In particular, this line assits the Comms Officer, as well as the Admin Assistants in several areas as they do not have a promo budget. Any an all campaings coming out of the Board are also funded through this line. Moreover, the cost of Welcome Week materails continues to grow and therefore this line is further impacted. This we be esspiecialy true in September 2015, with the depreciation of the CAN dollar.  Finnaly, the projected year end value is not reflective of the numerous prjects still in development for March and April of 2015.</t>
  </si>
  <si>
    <t>The MSU Increasingly hosts special events/guests, requiring special printing, refreshments and A/V needs. I have no other line from which to draw for such activities. As well, I will sometimes fund PTM training materials through this line as Office Supplies runs out too quickly.</t>
  </si>
  <si>
    <t xml:space="preserve"> </t>
  </si>
  <si>
    <t>Please keep this lines untouched.  Though it is not used to its full capacity on a year-to-year basis, when it is used it will utilize the entire budget line.</t>
  </si>
  <si>
    <t>NEW LINE:</t>
  </si>
  <si>
    <t>State of the Union</t>
  </si>
  <si>
    <t>SotU continues to grow. Its cost is not currently considered by an appropriate budget line.  Print/design costs are well over $1300 annually, while the event itself can easlity hit $1300+ for Avtek and MUSC costs.</t>
  </si>
  <si>
    <t>NAME CHANGE:</t>
  </si>
  <si>
    <r>
      <t xml:space="preserve">  5051-0310 PRL - SUMMER MAILOUT should be renamed </t>
    </r>
    <r>
      <rPr>
        <sz val="10"/>
        <color rgb="FFFF0000"/>
        <rFont val="Times New Roman"/>
        <family val="1"/>
      </rPr>
      <t>MSU GUIDEBOOK</t>
    </r>
    <r>
      <rPr>
        <sz val="10"/>
        <color indexed="0"/>
        <rFont val="Times New Roman"/>
        <family val="1"/>
      </rPr>
      <t xml:space="preserve"> - we no longer mail the book and the line in question faciliates the desing and printing of the annual Guidebook</t>
    </r>
  </si>
  <si>
    <t xml:space="preserve">  5051-0310 PRL - MSU GUIDEBOOK **</t>
  </si>
  <si>
    <t>Adjusted depreciation to reflect Maggie's calculations.</t>
  </si>
  <si>
    <t>Highlighted amounts - input by Maggie</t>
  </si>
  <si>
    <t>Need to buy things to make the space more 'home-y', and clean, like a vaccuum, lysol wipes, and posters, and a kettle.</t>
  </si>
  <si>
    <t>We need to pay for the chat forum that hosts Peer Support OnLine. The future coordinator may look towards a new domain for future use, as the current one is not completely ideal.</t>
  </si>
  <si>
    <t>For the potential annual event, as well as, to pay for potentially offering 'how to support your friends' sort of training to McMaster students at large - kind of a condensed version of peer listener training.</t>
  </si>
  <si>
    <t>We will have more volunteers in the future, but we will also (ideally) have less training days. However, the new coordinator is considering the potential of monthly refresher training sessions, or having additional optional, informational training sessions for our volunteers. (approx 80 volunteers, 2 day weekend, approx $20/head)</t>
  </si>
  <si>
    <t>We didn't send people to a conference this year, but I still think that there is room for us to do that in the future, should the opportunity present itself.</t>
  </si>
  <si>
    <t>Don't think this changes?</t>
  </si>
  <si>
    <t>Approximately $10/head for approximately 80 volunteers.</t>
  </si>
  <si>
    <t>Ask Scott what this means?</t>
  </si>
  <si>
    <t xml:space="preserve">  6715-0316 PEER - PURCHASED SERVICES**</t>
  </si>
  <si>
    <t>a - Telephone charges are about $60 per month x 12 months = $720 max</t>
  </si>
  <si>
    <t xml:space="preserve">  6494-0316 PEER - VOLUNTEER RECOGNITION **</t>
  </si>
  <si>
    <t>New accounts:</t>
  </si>
  <si>
    <t xml:space="preserve">  Volunteer Recognition 6494-0316</t>
  </si>
  <si>
    <t xml:space="preserve">  Purchased Services  6715-0316</t>
  </si>
  <si>
    <t>b - Depreciation adjusted to reflect Maggie's calculations</t>
  </si>
  <si>
    <t>Generally, our service does not need to spend a large amount on office supplies. This year, we have only ordered rechargable batteries for the microphones in Bridges. I see most expenses being Bridges related and minor.</t>
  </si>
  <si>
    <t>I am honestly unsure where the money for telephones is spent</t>
  </si>
  <si>
    <t>I am also unsure how the amount spent on photocopies is spent</t>
  </si>
  <si>
    <t>This year we have placed more focus on providing consistent programming for all of our pillars and this has helped the visibility of our service and engaged more students. However, with this increase in visibility, has come more requests to collaborate on events. Many of these sound interesting and relevant to our service, but we have had to refuse because of budget constraints</t>
  </si>
  <si>
    <t>Promotions have been tight this year as printing is expensive and so is having material designed by the underground. As we have a service which runs five different forms of programming congruently, it becomes expensive to consistently produce appealing promotional material within our budget.</t>
  </si>
  <si>
    <t>With a solid volunteer structure this year, we have had twenty dedicated members within our service. Currently, any snacks, or volunteer dinners we hold often comes out of our annual campaigns line becayse our volunteer recognition line cannot properly accomodate.</t>
  </si>
  <si>
    <t xml:space="preserve">There is currently about $1,400 in this line from the money that was moved from the bank and other donations so the plan is to try and use this money up by the end of this year and buy things that can be used as promo for the upcoming years. </t>
  </si>
  <si>
    <t xml:space="preserve">Here I have kept the advertising line the same but currently we only have enough in our budget to do posters/print promo for two of our events(Feed The Bus/Skip A Meal) and didn’t do any promo for Trick or Eat or Local food day. I would recommend that there be an extra 2 lines added, one for annual campaigns for things like pizza for TorE and Avtek for FTB and a second for volunteer appreciation so this will allow the entire promo budget to be actually used for promo so $1500 should be sufficient. </t>
  </si>
  <si>
    <t xml:space="preserve">  6494-0318 BREAD BIN - VOLUNTEER RECOGNITION **</t>
  </si>
  <si>
    <t>** NEW ACCOUNT</t>
  </si>
  <si>
    <t>* NEW ACCOUNT</t>
  </si>
  <si>
    <t xml:space="preserve">  6102-0318 BREAD BIN - ANNUAL CAMPAIGNS *</t>
  </si>
  <si>
    <t>Added amount to Bank Fees for online purchases</t>
  </si>
  <si>
    <t>Note - highlighted areas were input by Maggie - missing off Debbie's form.</t>
  </si>
  <si>
    <t>NEW ACCOUNT - Logistics Expense</t>
  </si>
  <si>
    <t>NEW ACCOUNT - Food Expense</t>
  </si>
  <si>
    <t>increase by 14k from new levy adjustment while adding the 2014 disbursement of 146,418.57 (total increase of$20,418.57)</t>
  </si>
  <si>
    <t>increased profit by 20k due to increasing budget expense line by 10k (6321-0113)</t>
  </si>
  <si>
    <t>PLEASE REMOVE ACCOUNT - current 4k is intended for (3308-0113)</t>
  </si>
  <si>
    <t>Increased by 23k to reflected annual earnings from 2014 &amp; 2015</t>
  </si>
  <si>
    <t>.</t>
  </si>
  <si>
    <t xml:space="preserve">inccrease budget $250, due to second office needs such swipes and office supplies </t>
  </si>
  <si>
    <t>Increase of 12.5k increase reflected in revenue 3601-0113 (increased 23k)</t>
  </si>
  <si>
    <t>All budget numbers referring to ORIENTATAION are subject to reflect suggested  3315-0113 budget request</t>
  </si>
  <si>
    <t xml:space="preserve">increase budget by 20k to reflect revenue adjustment in 3221-0113 - funding Homecomeming expo and concert </t>
  </si>
  <si>
    <t>not hosting the conference this year</t>
  </si>
  <si>
    <t xml:space="preserve">increase of $4500 increase reflected in revenue 3601-0113 </t>
  </si>
  <si>
    <t>keep budget the same, we save approx. 2k due to lack of flights with Ontario conference</t>
  </si>
  <si>
    <t>see Teddy - $$$</t>
  </si>
  <si>
    <t>Additonal 1k budget line expense  reflected in revenue 3601-0113 (increased 23k)</t>
  </si>
  <si>
    <t>Note - the following amounts were adjusted by Maggie</t>
  </si>
  <si>
    <t xml:space="preserve">     Orientation - Sponsorship:  rounded to even amount</t>
  </si>
  <si>
    <t xml:space="preserve">     Subscriptions:  increased from $3.00 to $300</t>
  </si>
  <si>
    <t xml:space="preserve">     Orient - Expenses:  rounded to even amount</t>
  </si>
  <si>
    <t xml:space="preserve">     Depreciation:  adjusted to Maggie's calculation</t>
  </si>
  <si>
    <t>Note - the highlighted accounts were input by Maggie</t>
  </si>
  <si>
    <t>(they were either omitted by CFMU or incorrect, i.e. Benefits was originally $155,000 and I reduced it to $15,500)</t>
  </si>
  <si>
    <t>Note - depreciation adjusted per Maggie's calculations</t>
  </si>
  <si>
    <t xml:space="preserve">  3204-0904 SHP4 - FEES REVENUE 15-16</t>
  </si>
  <si>
    <t xml:space="preserve">  6501-0904 SHP4 - ADV. &amp; PROMO. 15-16</t>
  </si>
  <si>
    <t xml:space="preserve">  6601-0904 SHP4 - PREMIUMS PAID-15-16</t>
  </si>
  <si>
    <t xml:space="preserve">  6605-0904 SHP4 - TRUSTEE FEES- 15-16</t>
  </si>
  <si>
    <t xml:space="preserve">  7401-0904 SHP4 - BANK CHARGES 15-16</t>
  </si>
  <si>
    <t xml:space="preserve">  7521-0904 SHP4- ADMIN - OPT OUT/ ADD ON 15-16</t>
  </si>
  <si>
    <t xml:space="preserve">  3204-1100 DENTAL PLAN 15/16- FEES REVENUE</t>
  </si>
  <si>
    <t xml:space="preserve">  6501-1100 DENTAL PLAN - ADV &amp; PROMO 15/16</t>
  </si>
  <si>
    <t xml:space="preserve">  6601-1100 DENTAL PLAN - PREMIUMS PAID 15/16</t>
  </si>
  <si>
    <t xml:space="preserve">  6605-1100 DENTAL PLAN - TRUSTEE FEES 15/16</t>
  </si>
  <si>
    <t xml:space="preserve">  7521-1100 DENTAL PLAN 15/16- ADMIN - OPT OUT</t>
  </si>
  <si>
    <t>Bank Fees - rounded up by Maggie</t>
  </si>
  <si>
    <t>Depreciation - adjusted per Maggie's calculations</t>
  </si>
  <si>
    <t>Highlighted areas - input by Maggie</t>
  </si>
  <si>
    <t>Note - highlighted numbers were rounded by Maggie - depreciation per calculations</t>
  </si>
  <si>
    <t xml:space="preserve">  6715-0203 UNGRN - PURCHASED SERVICES **</t>
  </si>
  <si>
    <t xml:space="preserve">** Updated to include Adobe Creative Cloud Software </t>
  </si>
  <si>
    <t>New Service - "Abilities"</t>
  </si>
  <si>
    <t>Operating Fund Surplus 2014-15 Projection</t>
  </si>
  <si>
    <t xml:space="preserve">3 year avg </t>
  </si>
  <si>
    <t>+</t>
  </si>
  <si>
    <t>75 per 30 and misc</t>
  </si>
  <si>
    <t xml:space="preserve">  6151-0303 ELEC - POLL BOOTH SET-UP (On-Line POLL) </t>
  </si>
  <si>
    <t xml:space="preserve">  5906-0305 EXEC - CASA MEMBERSHIP (Services) </t>
  </si>
  <si>
    <t xml:space="preserve">  6612-0305 EXEC - EXPENSE ACCOUNT (EMERGENCY Grants)</t>
  </si>
  <si>
    <t>*</t>
  </si>
  <si>
    <t>see below</t>
  </si>
  <si>
    <t>Not part of the approved budget - SRA</t>
  </si>
  <si>
    <t>Adjusted Total</t>
  </si>
  <si>
    <t>Operating Fund 2015-16 Budget</t>
  </si>
  <si>
    <t>Approved Budget for 2015-16</t>
  </si>
  <si>
    <t>Approved</t>
  </si>
  <si>
    <t>Approved Budget for 2015-16 - ADMIN</t>
  </si>
  <si>
    <t>Approved Budget for 2015-16 - Business Units</t>
  </si>
  <si>
    <t>Approved Budget for 2015-16 - Union Market</t>
  </si>
  <si>
    <t>Approved Budget for 2015-16 Underground -0203</t>
  </si>
  <si>
    <t>Approved Budget for 2015-16 Twelve Eighty (0204)</t>
  </si>
  <si>
    <t>Approved Budget for 2015-16 Rental Income Units</t>
  </si>
  <si>
    <t>Approved Budget for 2015-16 Zero Cost Centres</t>
  </si>
  <si>
    <t>Approved Budget for 2015-16 Child Care Centre (0106)</t>
  </si>
  <si>
    <t>Approved Budget for 2015-16 Committees &amp; Services</t>
  </si>
  <si>
    <t>Approved Budget for 2015-16 Emergency First Response Team (0107)</t>
  </si>
  <si>
    <t>Approved Budget for 2015-16 MacCycle (0108)</t>
  </si>
  <si>
    <t>Approved Budget for 2015-16 Student Health Education Centre (0116)</t>
  </si>
  <si>
    <t>Approved Budget for 2015-16 Student Walk Home Attendant Team (0117)</t>
  </si>
  <si>
    <t>Approved Budget for 2015-16 Queer Students Community Centre (0119)</t>
  </si>
  <si>
    <t>Approved Budget for 2015-16 MSU Maroons (0120)</t>
  </si>
  <si>
    <t>Approved Budget for 2015-16 CLAY Conference (0121)</t>
  </si>
  <si>
    <t>Approved Budget for 2015-16 Fundraising Initiative Team (0122)</t>
  </si>
  <si>
    <t>Approved Budget for 2015-16 Horizons Leadership Conference (0124)</t>
  </si>
  <si>
    <t>Approved Budget for 2015-16 SPARK (0125)</t>
  </si>
  <si>
    <t>Approved Budget for 2015-16 CLUBS (0302)</t>
  </si>
  <si>
    <t>Approved Budget for 2015-16 Elections Committee (0303)</t>
  </si>
  <si>
    <t>Approved Budget for 2015-16 MacGreen &amp; Farmstand (0304)</t>
  </si>
  <si>
    <t>Approved Budget for 2015-16 MSU Executive (0305)</t>
  </si>
  <si>
    <t>Approved Budget for 2015-16 Student Community Support Network (0306)</t>
  </si>
  <si>
    <t>Approved Budget for 2015-16 Women &amp; Gender Equity Network (0308)</t>
  </si>
  <si>
    <t>Approved Budget for 2015-16 Public Relations Committee (0310)</t>
  </si>
  <si>
    <t>Approved Budget for 2015-16 Teaching Awards Committee (0312)</t>
  </si>
  <si>
    <t>Approved Budget for 2015-16 Peer Support (0316)</t>
  </si>
  <si>
    <t>Approved Budget for 2015-16 Diversity Services (0317)</t>
  </si>
  <si>
    <t>Approved Budget for 2015-16 MacBread Bin (0318)</t>
  </si>
  <si>
    <t>Approved Budget for 2015-16 First Year Council (0319)</t>
  </si>
  <si>
    <t>Approved Budget for 2015-16 Service Operations</t>
  </si>
  <si>
    <t>Approved Budget for 2015-16 Compass Info Centre (0109)</t>
  </si>
  <si>
    <t>Approved Budget for 2015-16 Ombuds Office (0112)</t>
  </si>
  <si>
    <t>Approved Budget for 2015-16 Campus Events (0113)</t>
  </si>
  <si>
    <t>Approved Budget for 2015-16 The Silhouette (0115)</t>
  </si>
  <si>
    <t>Approved Budget for 2015-16 CFMU 93.3 Inc. (0501)</t>
  </si>
  <si>
    <t>Approved Budget for 2015-16 Marmor Fund (0602)</t>
  </si>
  <si>
    <t>Approved Budget for 2015-16 Student Health Plan Fund</t>
  </si>
  <si>
    <t>Approved Budget for 2015-16 Health Plan 14-15 (0904)</t>
  </si>
  <si>
    <t>Approved Budget for 2015-16 Student Health Plan Fund (0901)</t>
  </si>
  <si>
    <t>Approved Budget for 2015-16 Student Dental Plan Fund</t>
  </si>
  <si>
    <t>Approved Budget for 2015-16 Student Dental Plan Fund (1100)</t>
  </si>
  <si>
    <t>Approved Budget for 2015-16 University Centre Building Fund (0701)</t>
  </si>
  <si>
    <t xml:space="preserve">  6601-0310 PRL - STATE OF THE UNION</t>
  </si>
  <si>
    <t xml:space="preserve">  6327-0113 CMPV - ANNUAL YR END PARTY</t>
  </si>
  <si>
    <t>NEW ACCOUNT - Logistics Expense - include in purch services</t>
  </si>
  <si>
    <t>NEW ACCOUNT - Food Expense - include in awards &amp; mtgs.</t>
  </si>
  <si>
    <t>Adjustments</t>
  </si>
  <si>
    <t xml:space="preserve">      EFRT</t>
  </si>
  <si>
    <t xml:space="preserve">      SPARK</t>
  </si>
  <si>
    <t xml:space="preserve">      BBIN</t>
  </si>
</sst>
</file>

<file path=xl/styles.xml><?xml version="1.0" encoding="utf-8"?>
<styleSheet xmlns="http://schemas.openxmlformats.org/spreadsheetml/2006/main">
  <numFmts count="9">
    <numFmt numFmtId="6" formatCode="&quot;$&quot;#,##0;[Red]\-&quot;$&quot;#,##0"/>
    <numFmt numFmtId="43" formatCode="_-* #,##0.00_-;\-* #,##0.00_-;_-* &quot;-&quot;??_-;_-@_-"/>
    <numFmt numFmtId="164" formatCode="_(* #,##0.00_);_(* \(\ #,##0.00\ \);_(* &quot;-&quot;??_);_(\ @_ \)"/>
    <numFmt numFmtId="165" formatCode="#,###.00%;\(#,##0.00%\)"/>
    <numFmt numFmtId="166" formatCode="&quot;$&quot;#,###,##0.00;\(&quot;$&quot;#,###,##0.00\)"/>
    <numFmt numFmtId="167" formatCode="#,###,##0.00;\(#,###,##0.00\)"/>
    <numFmt numFmtId="168" formatCode="#,###,##0;\(#,###,##0\)"/>
    <numFmt numFmtId="169" formatCode="#,###,##0.0000;\(#,###,##0.0000\)"/>
    <numFmt numFmtId="170" formatCode="#,##0.000"/>
  </numFmts>
  <fonts count="24">
    <font>
      <sz val="10"/>
      <color indexed="0"/>
      <name val="Times New Roman"/>
    </font>
    <font>
      <sz val="10"/>
      <name val="Segoe UI"/>
      <family val="2"/>
    </font>
    <font>
      <sz val="10"/>
      <color indexed="0"/>
      <name val="Times New Roman"/>
      <family val="1"/>
    </font>
    <font>
      <b/>
      <i/>
      <sz val="12"/>
      <color indexed="4"/>
      <name val="Arial"/>
      <family val="2"/>
    </font>
    <font>
      <b/>
      <i/>
      <sz val="10"/>
      <color indexed="0"/>
      <name val="Arial"/>
      <family val="2"/>
    </font>
    <font>
      <b/>
      <sz val="10"/>
      <color indexed="0"/>
      <name val="Times New Roman"/>
      <family val="1"/>
    </font>
    <font>
      <b/>
      <i/>
      <sz val="10"/>
      <color indexed="0"/>
      <name val="Arial"/>
      <family val="2"/>
    </font>
    <font>
      <b/>
      <sz val="10"/>
      <name val="Times New Roman"/>
      <family val="1"/>
    </font>
    <font>
      <sz val="10"/>
      <color indexed="0"/>
      <name val="Times New Roman"/>
      <family val="1"/>
    </font>
    <font>
      <sz val="10"/>
      <name val="Times New Roman"/>
      <family val="1"/>
    </font>
    <font>
      <sz val="10"/>
      <color rgb="FF000000"/>
      <name val="Times New Roman"/>
      <family val="1"/>
    </font>
    <font>
      <b/>
      <sz val="10"/>
      <color rgb="FF000000"/>
      <name val="Times New Roman"/>
      <family val="1"/>
    </font>
    <font>
      <sz val="8.85"/>
      <color rgb="FF000000"/>
      <name val="Times New Roman"/>
      <family val="1"/>
    </font>
    <font>
      <sz val="10"/>
      <name val="Trebuchet MS"/>
      <family val="2"/>
    </font>
    <font>
      <sz val="9"/>
      <name val="Trebuchet MS"/>
      <family val="2"/>
    </font>
    <font>
      <sz val="10"/>
      <color rgb="FFFF0000"/>
      <name val="Times New Roman"/>
      <family val="1"/>
    </font>
    <font>
      <sz val="9"/>
      <name val="Calibri"/>
      <family val="2"/>
      <scheme val="minor"/>
    </font>
    <font>
      <b/>
      <sz val="10"/>
      <color rgb="FF0000FF"/>
      <name val="Times New Roman"/>
      <family val="1"/>
    </font>
    <font>
      <sz val="12"/>
      <color indexed="0"/>
      <name val="Times New Roman"/>
      <family val="1"/>
    </font>
    <font>
      <b/>
      <sz val="12"/>
      <name val="Times New Roman"/>
      <family val="1"/>
    </font>
    <font>
      <b/>
      <sz val="12"/>
      <color indexed="0"/>
      <name val="Times New Roman"/>
      <family val="1"/>
    </font>
    <font>
      <sz val="11"/>
      <color indexed="0"/>
      <name val="Times New Roman"/>
      <family val="1"/>
    </font>
    <font>
      <b/>
      <sz val="11"/>
      <name val="Times New Roman"/>
      <family val="1"/>
    </font>
    <font>
      <sz val="10"/>
      <color rgb="FF0000FF"/>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0">
    <xf numFmtId="0" fontId="0" fillId="0" borderId="0"/>
    <xf numFmtId="167" fontId="2" fillId="0" borderId="0"/>
    <xf numFmtId="166" fontId="2" fillId="0" borderId="0"/>
    <xf numFmtId="165" fontId="2" fillId="0" borderId="0"/>
    <xf numFmtId="0" fontId="2" fillId="0" borderId="0"/>
    <xf numFmtId="9" fontId="1" fillId="0" borderId="0" applyFont="0" applyFill="0" applyBorder="0" applyAlignment="0" applyProtection="0"/>
    <xf numFmtId="0" fontId="2" fillId="0" borderId="0"/>
    <xf numFmtId="0" fontId="3" fillId="0" borderId="0"/>
    <xf numFmtId="0" fontId="4" fillId="0" borderId="0"/>
    <xf numFmtId="0" fontId="5" fillId="0" borderId="0"/>
  </cellStyleXfs>
  <cellXfs count="129">
    <xf numFmtId="0" fontId="0" fillId="0" borderId="0" xfId="0"/>
    <xf numFmtId="167" fontId="2" fillId="0" borderId="0" xfId="1"/>
    <xf numFmtId="165" fontId="2" fillId="0" borderId="0" xfId="3"/>
    <xf numFmtId="165" fontId="3" fillId="0" borderId="0" xfId="3" applyFont="1" applyAlignment="1">
      <alignment horizontal="centerContinuous"/>
    </xf>
    <xf numFmtId="0" fontId="3" fillId="0" borderId="0" xfId="0" applyFont="1" applyAlignment="1">
      <alignment horizontal="centerContinuous"/>
    </xf>
    <xf numFmtId="49" fontId="4" fillId="0" borderId="0" xfId="1" applyNumberFormat="1" applyFont="1" applyAlignment="1">
      <alignment horizontal="centerContinuous"/>
    </xf>
    <xf numFmtId="167" fontId="4" fillId="0" borderId="0" xfId="1" applyFont="1" applyAlignment="1">
      <alignment horizontal="centerContinuous"/>
    </xf>
    <xf numFmtId="165" fontId="4" fillId="0" borderId="0" xfId="3" applyFont="1" applyAlignment="1">
      <alignment horizontal="centerContinuous"/>
    </xf>
    <xf numFmtId="0" fontId="4" fillId="0" borderId="0" xfId="0" applyFont="1" applyAlignment="1">
      <alignment horizontal="centerContinuous"/>
    </xf>
    <xf numFmtId="0" fontId="5" fillId="0" borderId="1" xfId="0" applyFont="1" applyBorder="1" applyAlignment="1">
      <alignment horizontal="center"/>
    </xf>
    <xf numFmtId="49" fontId="5" fillId="0" borderId="1" xfId="1" applyNumberFormat="1" applyFont="1" applyBorder="1" applyAlignment="1">
      <alignment horizontal="center"/>
    </xf>
    <xf numFmtId="0" fontId="0" fillId="0" borderId="0" xfId="0" applyAlignment="1">
      <alignment horizontal="left"/>
    </xf>
    <xf numFmtId="10" fontId="2" fillId="0" borderId="0" xfId="3" applyNumberFormat="1"/>
    <xf numFmtId="49" fontId="2" fillId="0" borderId="0" xfId="1" applyNumberFormat="1" applyAlignment="1">
      <alignment horizontal="fill"/>
    </xf>
    <xf numFmtId="164" fontId="0" fillId="0" borderId="0" xfId="0" applyNumberFormat="1"/>
    <xf numFmtId="164" fontId="0" fillId="0" borderId="0" xfId="0" applyNumberFormat="1" applyAlignment="1">
      <alignment horizontal="left"/>
    </xf>
    <xf numFmtId="49" fontId="6" fillId="0" borderId="0" xfId="1" applyNumberFormat="1" applyFont="1" applyAlignment="1">
      <alignment horizontal="centerContinuous"/>
    </xf>
    <xf numFmtId="0" fontId="10" fillId="0" borderId="0" xfId="0" applyFont="1"/>
    <xf numFmtId="167" fontId="10" fillId="0" borderId="0" xfId="0" applyNumberFormat="1" applyFont="1" applyAlignment="1">
      <alignment horizontal="center"/>
    </xf>
    <xf numFmtId="168" fontId="10" fillId="0" borderId="0" xfId="0" applyNumberFormat="1" applyFont="1"/>
    <xf numFmtId="168" fontId="10" fillId="0" borderId="2" xfId="0" applyNumberFormat="1" applyFont="1" applyBorder="1"/>
    <xf numFmtId="167" fontId="10" fillId="0" borderId="0" xfId="0" applyNumberFormat="1" applyFont="1"/>
    <xf numFmtId="0" fontId="11" fillId="0" borderId="0" xfId="0" applyFont="1" applyAlignment="1">
      <alignment horizontal="right"/>
    </xf>
    <xf numFmtId="167" fontId="11" fillId="0" borderId="0" xfId="0" applyNumberFormat="1" applyFont="1"/>
    <xf numFmtId="0" fontId="10" fillId="0" borderId="0" xfId="0" applyFont="1" applyAlignment="1">
      <alignment horizontal="right"/>
    </xf>
    <xf numFmtId="0" fontId="12" fillId="0" borderId="0" xfId="0" applyFont="1" applyAlignment="1">
      <alignment horizontal="center"/>
    </xf>
    <xf numFmtId="0" fontId="12" fillId="0" borderId="0" xfId="0" applyFont="1"/>
    <xf numFmtId="4" fontId="0" fillId="0" borderId="0" xfId="0" applyNumberFormat="1"/>
    <xf numFmtId="0" fontId="10" fillId="0" borderId="0" xfId="0" applyFont="1" applyAlignment="1">
      <alignment horizontal="center"/>
    </xf>
    <xf numFmtId="166" fontId="10" fillId="0" borderId="2" xfId="0" applyNumberFormat="1" applyFont="1" applyBorder="1"/>
    <xf numFmtId="166" fontId="10" fillId="0" borderId="0" xfId="0" applyNumberFormat="1" applyFont="1"/>
    <xf numFmtId="167" fontId="10" fillId="0" borderId="2" xfId="0" applyNumberFormat="1" applyFont="1" applyBorder="1"/>
    <xf numFmtId="167" fontId="10" fillId="0" borderId="0" xfId="0" applyNumberFormat="1" applyFont="1" applyAlignment="1"/>
    <xf numFmtId="167" fontId="10" fillId="0" borderId="0" xfId="0" applyNumberFormat="1" applyFont="1" applyAlignment="1">
      <alignment horizontal="center"/>
    </xf>
    <xf numFmtId="167" fontId="8" fillId="0" borderId="0" xfId="1" applyFont="1"/>
    <xf numFmtId="167" fontId="0" fillId="0" borderId="0" xfId="0" applyNumberFormat="1" applyAlignment="1">
      <alignment horizontal="right"/>
    </xf>
    <xf numFmtId="167" fontId="10" fillId="0" borderId="0" xfId="0" applyNumberFormat="1" applyFont="1" applyAlignment="1">
      <alignment horizontal="right"/>
    </xf>
    <xf numFmtId="167" fontId="7" fillId="0" borderId="0" xfId="1" applyFont="1"/>
    <xf numFmtId="167" fontId="9" fillId="0" borderId="0" xfId="1" applyFont="1"/>
    <xf numFmtId="0" fontId="2" fillId="0" borderId="0" xfId="0" applyFont="1" applyAlignment="1">
      <alignment horizontal="center"/>
    </xf>
    <xf numFmtId="0" fontId="0" fillId="0" borderId="0" xfId="0" applyAlignment="1">
      <alignment horizontal="center"/>
    </xf>
    <xf numFmtId="49" fontId="9" fillId="0" borderId="1" xfId="1" applyNumberFormat="1" applyFont="1" applyFill="1" applyBorder="1" applyAlignment="1">
      <alignment horizontal="center"/>
    </xf>
    <xf numFmtId="49" fontId="9" fillId="0" borderId="1" xfId="1" applyNumberFormat="1" applyFont="1" applyBorder="1" applyAlignment="1">
      <alignment horizontal="center"/>
    </xf>
    <xf numFmtId="49" fontId="5" fillId="2" borderId="1" xfId="1" applyNumberFormat="1" applyFont="1" applyFill="1" applyBorder="1" applyAlignment="1">
      <alignment horizontal="center"/>
    </xf>
    <xf numFmtId="167" fontId="7" fillId="2" borderId="0" xfId="1" applyFont="1" applyFill="1"/>
    <xf numFmtId="167" fontId="9" fillId="0" borderId="1" xfId="1" applyFont="1" applyFill="1" applyBorder="1" applyAlignment="1">
      <alignment horizontal="center"/>
    </xf>
    <xf numFmtId="165" fontId="7" fillId="0" borderId="0" xfId="3" applyFont="1" applyAlignment="1">
      <alignment horizontal="center"/>
    </xf>
    <xf numFmtId="49" fontId="3" fillId="0" borderId="0" xfId="1" applyNumberFormat="1" applyFont="1" applyAlignment="1"/>
    <xf numFmtId="49" fontId="4" fillId="0" borderId="0" xfId="1" applyNumberFormat="1" applyFont="1" applyAlignment="1"/>
    <xf numFmtId="0" fontId="5" fillId="0" borderId="0" xfId="0" applyFont="1" applyBorder="1" applyAlignment="1">
      <alignment horizontal="center"/>
    </xf>
    <xf numFmtId="0" fontId="0" fillId="0" borderId="0" xfId="0" applyBorder="1"/>
    <xf numFmtId="164" fontId="0" fillId="0" borderId="0" xfId="0" applyNumberFormat="1" applyBorder="1"/>
    <xf numFmtId="167" fontId="2" fillId="0" borderId="0" xfId="1" applyBorder="1"/>
    <xf numFmtId="49" fontId="2" fillId="0" borderId="0" xfId="1" applyNumberFormat="1" applyBorder="1" applyAlignment="1">
      <alignment horizontal="fill"/>
    </xf>
    <xf numFmtId="164" fontId="0" fillId="0" borderId="0" xfId="0" applyNumberFormat="1" applyBorder="1" applyAlignment="1">
      <alignment horizontal="left"/>
    </xf>
    <xf numFmtId="0" fontId="9" fillId="0" borderId="0" xfId="0" applyFont="1" applyAlignment="1">
      <alignment horizontal="left"/>
    </xf>
    <xf numFmtId="167" fontId="9" fillId="0" borderId="0" xfId="1" applyFont="1" applyFill="1"/>
    <xf numFmtId="167" fontId="7" fillId="0" borderId="3" xfId="1" applyFont="1" applyBorder="1"/>
    <xf numFmtId="164" fontId="7" fillId="0" borderId="0" xfId="0" applyNumberFormat="1" applyFont="1" applyAlignment="1">
      <alignment horizontal="left"/>
    </xf>
    <xf numFmtId="9" fontId="0" fillId="0" borderId="0" xfId="5" applyFont="1"/>
    <xf numFmtId="167" fontId="0" fillId="0" borderId="0" xfId="0" applyNumberFormat="1"/>
    <xf numFmtId="10" fontId="0" fillId="0" borderId="0" xfId="5" applyNumberFormat="1" applyFont="1"/>
    <xf numFmtId="0" fontId="2" fillId="0" borderId="0" xfId="0" applyFont="1"/>
    <xf numFmtId="43" fontId="0" fillId="0" borderId="0" xfId="0" applyNumberFormat="1"/>
    <xf numFmtId="167" fontId="2" fillId="0" borderId="0" xfId="0" applyNumberFormat="1" applyFont="1"/>
    <xf numFmtId="167" fontId="2" fillId="0" borderId="0" xfId="1" applyNumberFormat="1"/>
    <xf numFmtId="167" fontId="2" fillId="0" borderId="0" xfId="1" applyNumberFormat="1" applyAlignment="1">
      <alignment horizontal="fill"/>
    </xf>
    <xf numFmtId="167" fontId="7" fillId="0" borderId="0" xfId="0" applyNumberFormat="1" applyFont="1" applyAlignment="1"/>
    <xf numFmtId="167" fontId="0" fillId="0" borderId="0" xfId="0" applyNumberFormat="1" applyAlignment="1"/>
    <xf numFmtId="0" fontId="0" fillId="0" borderId="0" xfId="0" applyAlignment="1">
      <alignment wrapText="1"/>
    </xf>
    <xf numFmtId="167" fontId="2" fillId="0" borderId="0" xfId="1" applyAlignment="1">
      <alignment horizontal="right"/>
    </xf>
    <xf numFmtId="169" fontId="2" fillId="0" borderId="0" xfId="1" applyNumberFormat="1"/>
    <xf numFmtId="0" fontId="0" fillId="0" borderId="0" xfId="0" applyFont="1" applyAlignment="1">
      <alignment horizontal="center"/>
    </xf>
    <xf numFmtId="0" fontId="13" fillId="0" borderId="0" xfId="0" applyFont="1"/>
    <xf numFmtId="167" fontId="14" fillId="0" borderId="0" xfId="1" applyFont="1" applyAlignment="1">
      <alignment horizontal="right"/>
    </xf>
    <xf numFmtId="0" fontId="14" fillId="0" borderId="0" xfId="0" applyFont="1"/>
    <xf numFmtId="0" fontId="7" fillId="0" borderId="0" xfId="0" applyFont="1"/>
    <xf numFmtId="167" fontId="9" fillId="0" borderId="0" xfId="1" applyNumberFormat="1" applyFont="1" applyFill="1"/>
    <xf numFmtId="0" fontId="0" fillId="2" borderId="0" xfId="0" applyFill="1"/>
    <xf numFmtId="6" fontId="7" fillId="0" borderId="0" xfId="0" applyNumberFormat="1" applyFont="1"/>
    <xf numFmtId="167" fontId="0" fillId="0" borderId="0" xfId="1" applyFont="1"/>
    <xf numFmtId="0" fontId="2" fillId="0" borderId="0" xfId="0" applyFont="1" applyAlignment="1">
      <alignment horizontal="left"/>
    </xf>
    <xf numFmtId="0" fontId="0" fillId="0" borderId="0" xfId="0" applyAlignment="1">
      <alignment horizontal="center" wrapText="1"/>
    </xf>
    <xf numFmtId="0" fontId="9" fillId="0" borderId="0" xfId="0" applyFont="1"/>
    <xf numFmtId="0" fontId="0" fillId="3" borderId="0" xfId="0" applyFill="1"/>
    <xf numFmtId="167" fontId="0" fillId="3" borderId="0" xfId="1" applyFont="1" applyFill="1"/>
    <xf numFmtId="0" fontId="16" fillId="0" borderId="0" xfId="0" applyFont="1"/>
    <xf numFmtId="167" fontId="17" fillId="2" borderId="0" xfId="1" applyFont="1" applyFill="1"/>
    <xf numFmtId="167" fontId="17" fillId="2" borderId="0" xfId="1" applyNumberFormat="1" applyFont="1" applyFill="1"/>
    <xf numFmtId="170" fontId="0" fillId="0" borderId="0" xfId="0" applyNumberFormat="1"/>
    <xf numFmtId="167" fontId="7" fillId="0" borderId="3" xfId="0" applyNumberFormat="1" applyFont="1" applyBorder="1"/>
    <xf numFmtId="167" fontId="2" fillId="0" borderId="0" xfId="1" applyFill="1"/>
    <xf numFmtId="167" fontId="7" fillId="0" borderId="0" xfId="1" applyFont="1" applyFill="1" applyBorder="1"/>
    <xf numFmtId="49" fontId="3" fillId="0" borderId="0" xfId="1" applyNumberFormat="1" applyFont="1" applyAlignment="1">
      <alignment horizontal="center"/>
    </xf>
    <xf numFmtId="166" fontId="0" fillId="0" borderId="0" xfId="0" applyNumberFormat="1" applyAlignment="1">
      <alignment horizontal="left"/>
    </xf>
    <xf numFmtId="166" fontId="0" fillId="0" borderId="0" xfId="0" applyNumberFormat="1"/>
    <xf numFmtId="167" fontId="0" fillId="0" borderId="0" xfId="0" applyNumberFormat="1" applyAlignment="1">
      <alignment horizontal="center"/>
    </xf>
    <xf numFmtId="49" fontId="4" fillId="0" borderId="0" xfId="1" applyNumberFormat="1" applyFont="1" applyAlignment="1">
      <alignment horizontal="center"/>
    </xf>
    <xf numFmtId="0" fontId="18" fillId="0" borderId="0" xfId="0" applyFont="1"/>
    <xf numFmtId="0" fontId="20" fillId="0" borderId="1" xfId="0" applyFont="1" applyBorder="1" applyAlignment="1">
      <alignment horizontal="center"/>
    </xf>
    <xf numFmtId="0" fontId="18" fillId="0" borderId="0" xfId="0" applyFont="1" applyAlignment="1">
      <alignment horizontal="left"/>
    </xf>
    <xf numFmtId="0" fontId="18" fillId="0" borderId="0" xfId="4" applyFont="1" applyAlignment="1">
      <alignment horizontal="left"/>
    </xf>
    <xf numFmtId="0" fontId="18" fillId="0" borderId="0" xfId="4" applyFont="1"/>
    <xf numFmtId="0" fontId="19" fillId="0" borderId="0" xfId="4" applyFont="1" applyAlignment="1">
      <alignment horizontal="center"/>
    </xf>
    <xf numFmtId="167" fontId="2" fillId="0" borderId="0" xfId="1" applyFont="1"/>
    <xf numFmtId="167" fontId="21" fillId="0" borderId="0" xfId="1" applyFont="1"/>
    <xf numFmtId="49" fontId="21" fillId="0" borderId="0" xfId="1" applyNumberFormat="1" applyFont="1" applyAlignment="1">
      <alignment horizontal="fill"/>
    </xf>
    <xf numFmtId="0" fontId="21" fillId="0" borderId="0" xfId="0" applyFont="1"/>
    <xf numFmtId="167" fontId="21" fillId="0" borderId="0" xfId="0" applyNumberFormat="1" applyFont="1"/>
    <xf numFmtId="167" fontId="22" fillId="0" borderId="3" xfId="1" applyFont="1" applyBorder="1"/>
    <xf numFmtId="166" fontId="22" fillId="0" borderId="0" xfId="1" applyNumberFormat="1" applyFont="1"/>
    <xf numFmtId="167" fontId="23" fillId="0" borderId="0" xfId="1" applyFont="1" applyFill="1"/>
    <xf numFmtId="167" fontId="17" fillId="0" borderId="0" xfId="1" applyFont="1" applyFill="1"/>
    <xf numFmtId="167" fontId="7" fillId="0" borderId="0" xfId="1" applyFont="1" applyFill="1"/>
    <xf numFmtId="167" fontId="7" fillId="0" borderId="0" xfId="1" applyNumberFormat="1" applyFont="1" applyFill="1"/>
    <xf numFmtId="167" fontId="17" fillId="0" borderId="0" xfId="1" applyNumberFormat="1" applyFont="1" applyFill="1"/>
    <xf numFmtId="167" fontId="2" fillId="0" borderId="0" xfId="1" applyNumberFormat="1" applyFill="1"/>
    <xf numFmtId="167" fontId="9" fillId="0" borderId="0" xfId="1" applyNumberFormat="1" applyFont="1"/>
    <xf numFmtId="167" fontId="2" fillId="0" borderId="0" xfId="1" applyNumberFormat="1" applyFont="1"/>
    <xf numFmtId="167" fontId="2" fillId="0" borderId="0" xfId="1" applyNumberFormat="1" applyFill="1" applyAlignment="1">
      <alignment horizontal="fill"/>
    </xf>
    <xf numFmtId="167" fontId="0" fillId="0" borderId="0" xfId="0" applyNumberFormat="1" applyFill="1" applyAlignment="1"/>
    <xf numFmtId="167" fontId="2" fillId="0" borderId="0" xfId="1" applyNumberFormat="1" applyFont="1" applyFill="1"/>
    <xf numFmtId="0" fontId="0" fillId="0" borderId="0" xfId="0" applyFill="1" applyAlignment="1">
      <alignment horizontal="left"/>
    </xf>
    <xf numFmtId="167" fontId="2" fillId="0" borderId="0" xfId="1" applyFont="1" applyFill="1"/>
    <xf numFmtId="0" fontId="2" fillId="0" borderId="0" xfId="0" applyFont="1" applyFill="1" applyAlignment="1">
      <alignment horizontal="left"/>
    </xf>
    <xf numFmtId="49" fontId="3" fillId="0" borderId="0" xfId="1" applyNumberFormat="1" applyFont="1" applyAlignment="1">
      <alignment horizontal="center"/>
    </xf>
    <xf numFmtId="49" fontId="4" fillId="0" borderId="0" xfId="1" applyNumberFormat="1" applyFont="1" applyAlignment="1">
      <alignment horizontal="center"/>
    </xf>
    <xf numFmtId="167" fontId="10" fillId="0" borderId="0" xfId="0" applyNumberFormat="1" applyFont="1" applyAlignment="1">
      <alignment horizontal="center"/>
    </xf>
    <xf numFmtId="167" fontId="21" fillId="0" borderId="0" xfId="1" applyNumberFormat="1" applyFont="1"/>
  </cellXfs>
  <cellStyles count="10">
    <cellStyle name="FRxAmtStyle" xfId="1"/>
    <cellStyle name="FRxCurrStyle" xfId="2"/>
    <cellStyle name="FRxPcntStyle" xfId="3"/>
    <cellStyle name="Normal" xfId="0" builtinId="0"/>
    <cellStyle name="Normal 4" xfId="4"/>
    <cellStyle name="Percent" xfId="5" builtinId="5"/>
    <cellStyle name="STYLE1" xfId="6"/>
    <cellStyle name="STYLE2" xfId="7"/>
    <cellStyle name="STYLE3" xfId="8"/>
    <cellStyle name="STYLE4" xfId="9"/>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M46"/>
  <sheetViews>
    <sheetView tabSelected="1" workbookViewId="0">
      <pane ySplit="8" topLeftCell="A21" activePane="bottomLeft" state="frozenSplit"/>
      <selection pane="bottomLeft" activeCell="F45" sqref="F45"/>
    </sheetView>
  </sheetViews>
  <sheetFormatPr defaultColWidth="9.1640625" defaultRowHeight="12.75" outlineLevelCol="1"/>
  <cols>
    <col min="1" max="1" width="55.83203125" customWidth="1"/>
    <col min="2" max="2" width="18.1640625" customWidth="1"/>
    <col min="3" max="3" width="3.5" customWidth="1"/>
    <col min="4" max="5" width="14.5" style="1" hidden="1" customWidth="1" outlineLevel="1"/>
    <col min="6" max="6" width="14.5" style="1" customWidth="1" collapsed="1"/>
    <col min="7" max="9" width="14.5" style="1" customWidth="1"/>
    <col min="10" max="10" width="11.5" style="2" customWidth="1"/>
    <col min="11" max="11" width="42.83203125" customWidth="1"/>
    <col min="12" max="12" width="10.1640625" bestFit="1" customWidth="1"/>
  </cols>
  <sheetData>
    <row r="1" spans="1:13" ht="15">
      <c r="A1" s="93" t="s">
        <v>0</v>
      </c>
      <c r="B1" s="47"/>
      <c r="C1" s="47"/>
      <c r="D1" s="47"/>
      <c r="E1" s="47"/>
      <c r="F1" s="47"/>
      <c r="G1" s="47"/>
      <c r="H1" s="47"/>
      <c r="I1" s="47"/>
      <c r="J1" s="47"/>
      <c r="K1" s="4"/>
    </row>
    <row r="2" spans="1:13">
      <c r="A2" s="97" t="s">
        <v>940</v>
      </c>
      <c r="B2" s="48"/>
      <c r="C2" s="48"/>
      <c r="D2" s="48"/>
      <c r="E2" s="48"/>
      <c r="F2" s="48"/>
      <c r="G2" s="48"/>
      <c r="H2" s="48"/>
      <c r="I2" s="48"/>
      <c r="J2" s="48"/>
      <c r="K2" s="8"/>
    </row>
    <row r="3" spans="1:13">
      <c r="G3" s="6"/>
      <c r="H3" s="6"/>
      <c r="I3" s="6"/>
      <c r="J3" s="7"/>
      <c r="K3" s="8"/>
    </row>
    <row r="4" spans="1:13" ht="15.75">
      <c r="A4" s="98"/>
      <c r="B4" s="98"/>
    </row>
    <row r="5" spans="1:13" ht="15.75">
      <c r="A5" s="98"/>
      <c r="B5" s="99" t="s">
        <v>941</v>
      </c>
      <c r="D5" s="42" t="s">
        <v>1</v>
      </c>
      <c r="E5" s="41" t="s">
        <v>760</v>
      </c>
      <c r="F5" s="43" t="s">
        <v>2</v>
      </c>
      <c r="J5" s="46" t="s">
        <v>8</v>
      </c>
    </row>
    <row r="6" spans="1:13" ht="15.75">
      <c r="A6" s="98"/>
      <c r="B6" s="99" t="s">
        <v>3</v>
      </c>
      <c r="D6" s="42" t="s">
        <v>761</v>
      </c>
      <c r="E6" s="41" t="s">
        <v>759</v>
      </c>
      <c r="F6" s="43" t="s">
        <v>4</v>
      </c>
      <c r="G6" s="10" t="s">
        <v>4</v>
      </c>
      <c r="H6" s="10" t="s">
        <v>5</v>
      </c>
      <c r="I6" s="10" t="s">
        <v>6</v>
      </c>
      <c r="J6" s="10" t="s">
        <v>774</v>
      </c>
      <c r="K6" s="9" t="s">
        <v>7</v>
      </c>
    </row>
    <row r="7" spans="1:13" ht="15.75">
      <c r="A7" s="98"/>
      <c r="B7" s="99" t="s">
        <v>8</v>
      </c>
      <c r="D7" s="42" t="s">
        <v>4</v>
      </c>
      <c r="E7" s="41" t="s">
        <v>5</v>
      </c>
      <c r="F7" s="43" t="s">
        <v>9</v>
      </c>
      <c r="G7" s="10" t="s">
        <v>8</v>
      </c>
      <c r="H7" s="10" t="s">
        <v>9</v>
      </c>
      <c r="I7" s="10" t="s">
        <v>9</v>
      </c>
      <c r="J7" s="10" t="s">
        <v>775</v>
      </c>
    </row>
    <row r="8" spans="1:13" ht="15.75">
      <c r="A8" s="98"/>
      <c r="B8" s="98"/>
    </row>
    <row r="9" spans="1:13" ht="15.75">
      <c r="A9" s="98"/>
      <c r="B9" s="98"/>
    </row>
    <row r="10" spans="1:13" ht="15.75">
      <c r="A10" s="100" t="s">
        <v>10</v>
      </c>
      <c r="B10" s="98"/>
    </row>
    <row r="11" spans="1:13" ht="15.75">
      <c r="A11" s="100" t="s">
        <v>11</v>
      </c>
      <c r="B11" s="105">
        <f>'ADMINISTRATION - Acct Detail'!B51</f>
        <v>-1962848</v>
      </c>
      <c r="D11" s="1">
        <f>'ADMINISTRATION - Acct Detail'!D51</f>
        <v>-2064478.5699999994</v>
      </c>
      <c r="E11" s="1">
        <f>'ADMINISTRATION - Acct Detail'!E51</f>
        <v>101764.03300000002</v>
      </c>
      <c r="F11" s="1">
        <f>D11+E11</f>
        <v>-1962714.5369999993</v>
      </c>
      <c r="G11" s="1">
        <v>-1895540</v>
      </c>
      <c r="H11" s="1">
        <v>-1978848.58</v>
      </c>
      <c r="I11" s="1">
        <v>-2028945.18</v>
      </c>
      <c r="J11" s="12">
        <f>B11/G11</f>
        <v>1.0355086149593256</v>
      </c>
      <c r="M11" t="s">
        <v>847</v>
      </c>
    </row>
    <row r="12" spans="1:13" ht="15.75">
      <c r="A12" s="100" t="s">
        <v>12</v>
      </c>
      <c r="B12" s="105">
        <f>'SCHEDULE A - Acct Detail'!C20</f>
        <v>-97219.000000000058</v>
      </c>
      <c r="D12" s="1">
        <f>'SCHEDULE A - Acct Detail'!E20</f>
        <v>-22715.350000000188</v>
      </c>
      <c r="E12" s="1">
        <f>'SCHEDULE A - Acct Detail'!F20</f>
        <v>-70071.959999999992</v>
      </c>
      <c r="F12" s="1">
        <f t="shared" ref="F12:F20" si="0">D12+E12</f>
        <v>-92787.310000000172</v>
      </c>
      <c r="G12" s="1">
        <v>-70130</v>
      </c>
      <c r="H12" s="1">
        <v>-74913.809999999605</v>
      </c>
      <c r="I12" s="1">
        <v>-137452.98000000001</v>
      </c>
      <c r="J12" s="12">
        <f t="shared" ref="J12:J22" si="1">B12/G12</f>
        <v>1.3862683587622995</v>
      </c>
      <c r="M12" t="s">
        <v>847</v>
      </c>
    </row>
    <row r="13" spans="1:13" ht="15.75">
      <c r="A13" s="100" t="s">
        <v>13</v>
      </c>
      <c r="B13" s="105">
        <f>'SCHEDULE B - Acct Detail'!B13</f>
        <v>12626</v>
      </c>
      <c r="D13" s="1">
        <f>'CHILD CARE - Acct Detail'!D40</f>
        <v>7793.6500000000815</v>
      </c>
      <c r="E13" s="1">
        <f>'CHILD CARE - Acct Detail'!E40</f>
        <v>6280.9500000000307</v>
      </c>
      <c r="F13" s="1">
        <f t="shared" si="0"/>
        <v>14074.600000000111</v>
      </c>
      <c r="G13" s="1">
        <v>1193</v>
      </c>
      <c r="H13" s="1">
        <v>25066.140000000101</v>
      </c>
      <c r="I13" s="1">
        <v>12098.99</v>
      </c>
      <c r="J13" s="12">
        <f t="shared" si="1"/>
        <v>10.583403185247276</v>
      </c>
    </row>
    <row r="14" spans="1:13" ht="15.75">
      <c r="A14" s="100" t="s">
        <v>14</v>
      </c>
      <c r="B14" s="105">
        <f>'SCHEDULE C - Acct Detail'!B35</f>
        <v>1216880</v>
      </c>
      <c r="D14" s="1">
        <f>'SCHEDULE C - Acct Detail'!D35</f>
        <v>708360.18</v>
      </c>
      <c r="E14" s="1">
        <f>'SCHEDULE C - Acct Detail'!E35</f>
        <v>444055.7784999999</v>
      </c>
      <c r="F14" s="1">
        <f t="shared" si="0"/>
        <v>1152415.9584999999</v>
      </c>
      <c r="G14" s="1">
        <v>1182911</v>
      </c>
      <c r="H14" s="1">
        <v>1094864.23</v>
      </c>
      <c r="I14" s="1">
        <v>968210.99</v>
      </c>
      <c r="J14" s="12">
        <f t="shared" si="1"/>
        <v>1.0287164461231657</v>
      </c>
    </row>
    <row r="15" spans="1:13" ht="15.75">
      <c r="A15" s="100" t="s">
        <v>15</v>
      </c>
      <c r="B15" s="105">
        <f>'SCHEDULE D - Acct Detail'!B16</f>
        <v>790470</v>
      </c>
      <c r="D15" s="1">
        <f>'SCHEDULE D - Acct Detail'!D16</f>
        <v>421718.52999999991</v>
      </c>
      <c r="E15" s="1">
        <f>'SCHEDULE D - Acct Detail'!E16</f>
        <v>337982.75100000011</v>
      </c>
      <c r="F15" s="1">
        <f t="shared" si="0"/>
        <v>759701.28099999996</v>
      </c>
      <c r="G15" s="1">
        <v>792307</v>
      </c>
      <c r="H15" s="1">
        <v>677901.27</v>
      </c>
      <c r="I15" s="1">
        <v>684092.69</v>
      </c>
      <c r="J15" s="12">
        <f t="shared" si="1"/>
        <v>0.99768145428476585</v>
      </c>
    </row>
    <row r="16" spans="1:13" ht="15.75">
      <c r="A16" s="100" t="s">
        <v>16</v>
      </c>
      <c r="B16" s="105">
        <f>'CFMU GENERAL - Acct Detail'!B41</f>
        <v>-810</v>
      </c>
      <c r="D16" s="1">
        <f>'CFMU GENERAL - Acct Detail'!D41</f>
        <v>-85568.640000000029</v>
      </c>
      <c r="E16" s="1">
        <f>'CFMU GENERAL - Acct Detail'!E41</f>
        <v>92935.690000000017</v>
      </c>
      <c r="F16" s="1">
        <f t="shared" si="0"/>
        <v>7367.0499999999884</v>
      </c>
      <c r="G16" s="1">
        <v>-9630</v>
      </c>
      <c r="H16" s="1">
        <v>3579.5699999999601</v>
      </c>
      <c r="I16" s="1">
        <v>-193784.85</v>
      </c>
      <c r="J16" s="12">
        <f t="shared" si="1"/>
        <v>8.4112149532710276E-2</v>
      </c>
    </row>
    <row r="17" spans="1:12" ht="15.75">
      <c r="A17" s="100" t="s">
        <v>17</v>
      </c>
      <c r="B17" s="105">
        <f>'MARMOR CURRENT - Acct Detail'!B24</f>
        <v>-29520</v>
      </c>
      <c r="D17" s="1">
        <f>'MARMOR CURRENT - Acct Detail'!D24</f>
        <v>-168995.86</v>
      </c>
      <c r="E17" s="1">
        <f>'MARMOR CURRENT - Acct Detail'!E24</f>
        <v>113355.21999999999</v>
      </c>
      <c r="F17" s="1">
        <f t="shared" si="0"/>
        <v>-55640.639999999999</v>
      </c>
      <c r="G17" s="1">
        <v>-37575</v>
      </c>
      <c r="H17" s="1">
        <v>-69858.460000000006</v>
      </c>
      <c r="I17" s="1">
        <v>-11992.11</v>
      </c>
      <c r="J17" s="12">
        <f t="shared" si="1"/>
        <v>0.78562874251497006</v>
      </c>
      <c r="K17" s="40" t="s">
        <v>928</v>
      </c>
    </row>
    <row r="18" spans="1:12" ht="15.75">
      <c r="A18" s="100" t="s">
        <v>18</v>
      </c>
      <c r="B18" s="105">
        <f>'STU. HEALTH PLAN - Acct Detail'!B14</f>
        <v>-57750</v>
      </c>
      <c r="D18" s="1">
        <f>'STU. HEALTH PLAN - Acct Detail'!D14</f>
        <v>-424731.19999999995</v>
      </c>
      <c r="E18" s="1">
        <f>'STU. HEALTH PLAN - Acct Detail'!E14</f>
        <v>259588.63999999998</v>
      </c>
      <c r="F18" s="1">
        <f t="shared" si="0"/>
        <v>-165142.55999999997</v>
      </c>
      <c r="G18" s="1">
        <v>-60000</v>
      </c>
      <c r="H18" s="1">
        <v>-9438.3999999999705</v>
      </c>
      <c r="I18" s="1">
        <v>329987.65999999997</v>
      </c>
      <c r="J18" s="12">
        <f t="shared" si="1"/>
        <v>0.96250000000000002</v>
      </c>
      <c r="K18" s="96">
        <f>SUM(F11:F15)</f>
        <v>-129310.0074999996</v>
      </c>
      <c r="L18" s="60" t="s">
        <v>847</v>
      </c>
    </row>
    <row r="19" spans="1:12" ht="15.75">
      <c r="A19" s="100" t="s">
        <v>19</v>
      </c>
      <c r="B19" s="105">
        <f>'DENTAL PLAN - Acct Detail'!B14</f>
        <v>-37000</v>
      </c>
      <c r="D19" s="1">
        <f>'DENTAL PLAN - Acct Detail'!D14</f>
        <v>-576136.26</v>
      </c>
      <c r="E19" s="1">
        <f>'DENTAL PLAN - Acct Detail'!E14</f>
        <v>576607.93999999994</v>
      </c>
      <c r="F19" s="1">
        <f t="shared" si="0"/>
        <v>471.67999999993481</v>
      </c>
      <c r="G19" s="1">
        <v>-24925</v>
      </c>
      <c r="H19" s="1">
        <v>104785.32</v>
      </c>
      <c r="I19" s="1">
        <v>50512.599999999897</v>
      </c>
      <c r="J19" s="12">
        <f t="shared" si="1"/>
        <v>1.4844533600802408</v>
      </c>
      <c r="K19" s="40"/>
    </row>
    <row r="20" spans="1:12" ht="15.75">
      <c r="A20" s="100" t="s">
        <v>20</v>
      </c>
      <c r="B20" s="105">
        <f>'UNI CENTRE - Acct Detail'!B14</f>
        <v>-9000</v>
      </c>
      <c r="D20" s="1">
        <f>'UNI CENTRE - Acct Detail'!D14</f>
        <v>-375399.67999999999</v>
      </c>
      <c r="E20" s="1">
        <f>'UNI CENTRE - Acct Detail'!E14</f>
        <v>356837.85</v>
      </c>
      <c r="F20" s="1">
        <f t="shared" si="0"/>
        <v>-18561.830000000016</v>
      </c>
      <c r="G20" s="1">
        <v>-10000</v>
      </c>
      <c r="H20" s="1">
        <v>-59162.02</v>
      </c>
      <c r="I20" s="1">
        <v>-42435.040000000001</v>
      </c>
      <c r="J20" s="12">
        <f t="shared" si="1"/>
        <v>0.9</v>
      </c>
      <c r="K20" s="39" t="s">
        <v>939</v>
      </c>
    </row>
    <row r="21" spans="1:12" ht="15.75">
      <c r="A21" s="98"/>
      <c r="B21" s="106" t="s">
        <v>21</v>
      </c>
      <c r="D21" s="13" t="s">
        <v>21</v>
      </c>
      <c r="E21" s="13"/>
      <c r="F21" s="13" t="s">
        <v>21</v>
      </c>
      <c r="G21" s="13" t="s">
        <v>21</v>
      </c>
      <c r="H21" s="13" t="s">
        <v>21</v>
      </c>
      <c r="I21" s="13" t="s">
        <v>21</v>
      </c>
      <c r="J21" s="13" t="s">
        <v>21</v>
      </c>
      <c r="K21" s="96">
        <f>SUM(B11:B15)</f>
        <v>-40091</v>
      </c>
    </row>
    <row r="22" spans="1:12" ht="15.75">
      <c r="A22" s="100" t="s">
        <v>22</v>
      </c>
      <c r="B22" s="105">
        <f>SUM(B11:B21)</f>
        <v>-174171</v>
      </c>
      <c r="C22" s="11"/>
      <c r="D22" s="1">
        <f>SUM(D11:D20)</f>
        <v>-2580153.1999999997</v>
      </c>
      <c r="E22" s="1">
        <f>SUM(E11:E20)</f>
        <v>2219336.8925000001</v>
      </c>
      <c r="F22" s="44">
        <f>SUM(F11:F20)</f>
        <v>-360816.3074999997</v>
      </c>
      <c r="G22" s="1">
        <v>-131389</v>
      </c>
      <c r="H22" s="1">
        <v>-286024.739999999</v>
      </c>
      <c r="I22" s="1">
        <v>-369707.229999998</v>
      </c>
      <c r="J22" s="12">
        <f t="shared" si="1"/>
        <v>1.3256132552953444</v>
      </c>
      <c r="K22" s="94"/>
    </row>
    <row r="23" spans="1:12" ht="15.75">
      <c r="A23" s="98"/>
      <c r="B23" s="106" t="s">
        <v>21</v>
      </c>
      <c r="D23" s="13" t="s">
        <v>21</v>
      </c>
      <c r="E23" s="13"/>
      <c r="F23" s="13" t="s">
        <v>21</v>
      </c>
      <c r="G23" s="13" t="s">
        <v>21</v>
      </c>
      <c r="H23" s="13" t="s">
        <v>21</v>
      </c>
      <c r="I23" s="13" t="s">
        <v>21</v>
      </c>
      <c r="J23" s="13" t="s">
        <v>21</v>
      </c>
      <c r="K23" s="95"/>
    </row>
    <row r="24" spans="1:12" ht="15.75">
      <c r="A24" s="98"/>
      <c r="B24" s="107"/>
      <c r="K24" s="95"/>
    </row>
    <row r="25" spans="1:12" ht="15.75">
      <c r="A25" s="98"/>
      <c r="B25" s="108" t="s">
        <v>847</v>
      </c>
    </row>
    <row r="26" spans="1:12" ht="15.75">
      <c r="A26" s="101" t="s">
        <v>768</v>
      </c>
      <c r="B26" s="107"/>
    </row>
    <row r="27" spans="1:12" ht="15.75">
      <c r="A27" s="102" t="s">
        <v>769</v>
      </c>
      <c r="B27" s="105">
        <f t="shared" ref="B27:H27" si="2">SUM(B11:B15)+B17</f>
        <v>-69611</v>
      </c>
      <c r="D27" s="1">
        <f t="shared" si="2"/>
        <v>-1118317.4199999995</v>
      </c>
      <c r="E27" s="1">
        <f t="shared" si="2"/>
        <v>933366.77249999996</v>
      </c>
      <c r="F27" s="1">
        <f t="shared" si="2"/>
        <v>-184950.64749999961</v>
      </c>
      <c r="G27" s="1">
        <f t="shared" si="2"/>
        <v>-26834</v>
      </c>
      <c r="H27" s="1">
        <f t="shared" si="2"/>
        <v>-325789.20999999956</v>
      </c>
      <c r="I27" s="1">
        <f>SUM(I11:I15)+I17</f>
        <v>-513987.6</v>
      </c>
      <c r="K27" s="91"/>
    </row>
    <row r="28" spans="1:12" ht="15.75">
      <c r="A28" s="102" t="s">
        <v>770</v>
      </c>
      <c r="B28" s="105">
        <f>B16</f>
        <v>-810</v>
      </c>
      <c r="D28" s="1">
        <f t="shared" ref="D28:I28" si="3">D16</f>
        <v>-85568.640000000029</v>
      </c>
      <c r="E28" s="1">
        <f t="shared" si="3"/>
        <v>92935.690000000017</v>
      </c>
      <c r="F28" s="1">
        <f t="shared" si="3"/>
        <v>7367.0499999999884</v>
      </c>
      <c r="G28" s="1">
        <f t="shared" si="3"/>
        <v>-9630</v>
      </c>
      <c r="H28" s="1">
        <f t="shared" si="3"/>
        <v>3579.5699999999601</v>
      </c>
      <c r="I28" s="1">
        <f t="shared" si="3"/>
        <v>-193784.85</v>
      </c>
      <c r="K28" s="91"/>
    </row>
    <row r="29" spans="1:12" ht="15.75">
      <c r="A29" s="102" t="s">
        <v>771</v>
      </c>
      <c r="B29" s="105">
        <f>B18</f>
        <v>-57750</v>
      </c>
      <c r="D29" s="1">
        <f t="shared" ref="D29:I31" si="4">D18</f>
        <v>-424731.19999999995</v>
      </c>
      <c r="E29" s="1">
        <f t="shared" si="4"/>
        <v>259588.63999999998</v>
      </c>
      <c r="F29" s="1">
        <f t="shared" si="4"/>
        <v>-165142.55999999997</v>
      </c>
      <c r="G29" s="1">
        <f t="shared" si="4"/>
        <v>-60000</v>
      </c>
      <c r="H29" s="1">
        <f t="shared" si="4"/>
        <v>-9438.3999999999705</v>
      </c>
      <c r="I29" s="1">
        <f t="shared" si="4"/>
        <v>329987.65999999997</v>
      </c>
    </row>
    <row r="30" spans="1:12" ht="15.75">
      <c r="A30" s="102" t="s">
        <v>772</v>
      </c>
      <c r="B30" s="105">
        <f>B19</f>
        <v>-37000</v>
      </c>
      <c r="D30" s="1">
        <f t="shared" si="4"/>
        <v>-576136.26</v>
      </c>
      <c r="E30" s="1">
        <f t="shared" si="4"/>
        <v>576607.93999999994</v>
      </c>
      <c r="F30" s="1">
        <f t="shared" si="4"/>
        <v>471.67999999993481</v>
      </c>
      <c r="G30" s="1">
        <f t="shared" si="4"/>
        <v>-24925</v>
      </c>
      <c r="H30" s="1">
        <f t="shared" si="4"/>
        <v>104785.32</v>
      </c>
      <c r="I30" s="1">
        <f t="shared" si="4"/>
        <v>50512.599999999897</v>
      </c>
    </row>
    <row r="31" spans="1:12" ht="15.75">
      <c r="A31" s="102" t="s">
        <v>773</v>
      </c>
      <c r="B31" s="105">
        <f>B20</f>
        <v>-9000</v>
      </c>
      <c r="D31" s="1">
        <f t="shared" si="4"/>
        <v>-375399.67999999999</v>
      </c>
      <c r="E31" s="1">
        <f t="shared" si="4"/>
        <v>356837.85</v>
      </c>
      <c r="F31" s="1">
        <f t="shared" si="4"/>
        <v>-18561.830000000016</v>
      </c>
      <c r="G31" s="1">
        <f t="shared" si="4"/>
        <v>-10000</v>
      </c>
      <c r="H31" s="1">
        <f t="shared" si="4"/>
        <v>-59162.02</v>
      </c>
      <c r="I31" s="1">
        <f t="shared" si="4"/>
        <v>-42435.040000000001</v>
      </c>
      <c r="K31" s="91"/>
    </row>
    <row r="32" spans="1:12" ht="15.75">
      <c r="A32" s="102"/>
      <c r="B32" s="107"/>
    </row>
    <row r="33" spans="1:11" ht="15.75" customHeight="1" thickBot="1">
      <c r="A33" s="103" t="s">
        <v>22</v>
      </c>
      <c r="B33" s="109">
        <f t="shared" ref="B33:I33" si="5">SUM(B27:B32)</f>
        <v>-174171</v>
      </c>
      <c r="D33" s="57">
        <f t="shared" si="5"/>
        <v>-2580153.1999999997</v>
      </c>
      <c r="E33" s="57">
        <f t="shared" si="5"/>
        <v>2219336.8925000001</v>
      </c>
      <c r="F33" s="57">
        <f t="shared" si="5"/>
        <v>-360816.3074999997</v>
      </c>
      <c r="G33" s="57">
        <f t="shared" si="5"/>
        <v>-131389</v>
      </c>
      <c r="H33" s="57">
        <f t="shared" si="5"/>
        <v>-286024.73999999958</v>
      </c>
      <c r="I33" s="57">
        <f t="shared" si="5"/>
        <v>-369707.23000000004</v>
      </c>
      <c r="K33" s="92"/>
    </row>
    <row r="34" spans="1:11" ht="16.5" thickTop="1">
      <c r="A34" s="98"/>
      <c r="B34" s="107"/>
    </row>
    <row r="35" spans="1:11" ht="15.75">
      <c r="A35" s="98" t="s">
        <v>990</v>
      </c>
      <c r="B35" s="107"/>
    </row>
    <row r="36" spans="1:11" ht="15.75">
      <c r="A36" s="98" t="s">
        <v>991</v>
      </c>
      <c r="B36" s="108">
        <v>1250</v>
      </c>
    </row>
    <row r="37" spans="1:11" ht="15.75">
      <c r="A37" s="98" t="s">
        <v>992</v>
      </c>
      <c r="B37" s="108">
        <v>1900</v>
      </c>
    </row>
    <row r="38" spans="1:11" ht="15.75">
      <c r="A38" s="98" t="s">
        <v>993</v>
      </c>
      <c r="B38" s="108">
        <v>1300</v>
      </c>
      <c r="K38" s="60"/>
    </row>
    <row r="39" spans="1:11" ht="15.75">
      <c r="A39" s="98"/>
      <c r="B39" s="128"/>
    </row>
    <row r="40" spans="1:11" ht="15.75">
      <c r="A40" s="98"/>
      <c r="B40" s="128"/>
    </row>
    <row r="41" spans="1:11" ht="15.75">
      <c r="A41" s="98"/>
      <c r="B41" s="105"/>
    </row>
    <row r="42" spans="1:11" ht="15.75">
      <c r="A42" s="103" t="s">
        <v>938</v>
      </c>
      <c r="B42" s="110">
        <f>SUM(B33:B40)</f>
        <v>-169721</v>
      </c>
    </row>
    <row r="43" spans="1:11" ht="15.75">
      <c r="A43" s="98"/>
      <c r="B43" s="107"/>
    </row>
    <row r="44" spans="1:11" ht="15">
      <c r="B44" s="107"/>
    </row>
    <row r="45" spans="1:11" ht="15.75">
      <c r="B45" s="98"/>
    </row>
    <row r="46" spans="1:11" ht="15.75">
      <c r="B46" s="98"/>
    </row>
  </sheetData>
  <phoneticPr fontId="0" type="noConversion"/>
  <printOptions horizontalCentered="1"/>
  <pageMargins left="0.15748031496062992" right="0.15748031496062992" top="0.74803149606299213" bottom="0.74803149606299213" header="0.51181102362204722" footer="0.51181102362204722"/>
  <pageSetup scale="94"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K49"/>
  <sheetViews>
    <sheetView workbookViewId="0">
      <pane ySplit="8" topLeftCell="A9" activePane="bottomLeft" state="frozenSplit"/>
      <selection pane="bottomLeft" activeCell="A40" sqref="A40"/>
    </sheetView>
  </sheetViews>
  <sheetFormatPr defaultColWidth="9.1640625" defaultRowHeight="12.75"/>
  <cols>
    <col min="1" max="1" width="55.5" customWidth="1"/>
    <col min="2" max="2" width="14.5" customWidth="1"/>
    <col min="3" max="3" width="3.6640625" customWidth="1"/>
    <col min="4"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950</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c r="B10" s="14"/>
    </row>
    <row r="11" spans="1:11">
      <c r="A11" s="11" t="s">
        <v>222</v>
      </c>
      <c r="B11" s="65">
        <f>'EFRT - Acct Detail'!B34</f>
        <v>39932</v>
      </c>
      <c r="D11" s="1">
        <f>'EFRT - Acct Detail'!D34</f>
        <v>4517.8800000000083</v>
      </c>
      <c r="E11" s="1">
        <f>'EFRT - Acct Detail'!E34</f>
        <v>33603.357000000004</v>
      </c>
      <c r="F11" s="1">
        <f>'EFRT - Acct Detail'!F34</f>
        <v>38121.237000000001</v>
      </c>
      <c r="G11" s="1">
        <v>38957</v>
      </c>
      <c r="H11" s="1">
        <v>39284.949999999997</v>
      </c>
      <c r="I11" s="1">
        <v>52078.28</v>
      </c>
      <c r="J11" s="12">
        <f t="shared" ref="J11:J18" si="0">B11/G11</f>
        <v>1.0250275945272993</v>
      </c>
      <c r="K11" s="89">
        <f>F11-B11</f>
        <v>-1810.762999999999</v>
      </c>
    </row>
    <row r="12" spans="1:11">
      <c r="A12" s="11" t="s">
        <v>223</v>
      </c>
      <c r="B12" s="65">
        <f>'MACCYCLE - Acct Detail'!B26</f>
        <v>19770</v>
      </c>
      <c r="D12" s="1">
        <f>'MACCYCLE - Acct Detail'!D26</f>
        <v>9147.8300000000017</v>
      </c>
      <c r="E12" s="1">
        <f>'MACCYCLE - Acct Detail'!E26</f>
        <v>12217.58</v>
      </c>
      <c r="F12" s="1">
        <f>'MACCYCLE - Acct Detail'!F26</f>
        <v>21365.41</v>
      </c>
      <c r="G12" s="1">
        <v>22970</v>
      </c>
      <c r="H12" s="1">
        <v>21689.47</v>
      </c>
      <c r="I12" s="1">
        <v>22718.26</v>
      </c>
      <c r="J12" s="12">
        <f t="shared" si="0"/>
        <v>0.86068785372224643</v>
      </c>
      <c r="K12" s="89">
        <f t="shared" ref="K12:K33" si="1">F12-B12</f>
        <v>1595.4099999999999</v>
      </c>
    </row>
    <row r="13" spans="1:11">
      <c r="A13" s="11" t="s">
        <v>224</v>
      </c>
      <c r="B13" s="65">
        <f>'SHEC - Acct Detail'!B25</f>
        <v>19240</v>
      </c>
      <c r="D13" s="1">
        <f>'SHEC - Acct Detail'!D25</f>
        <v>7787.8099999999995</v>
      </c>
      <c r="E13" s="1">
        <f>'SHEC - Acct Detail'!E25</f>
        <v>8621.6419999999998</v>
      </c>
      <c r="F13" s="1">
        <f>'SHEC - Acct Detail'!F25</f>
        <v>16409.451999999997</v>
      </c>
      <c r="G13" s="1">
        <v>19918</v>
      </c>
      <c r="H13" s="1">
        <v>16986.580000000002</v>
      </c>
      <c r="I13" s="1">
        <v>18689.02</v>
      </c>
      <c r="J13" s="12">
        <f t="shared" si="0"/>
        <v>0.96596043779495933</v>
      </c>
      <c r="K13" s="89">
        <f t="shared" si="1"/>
        <v>-2830.5480000000025</v>
      </c>
    </row>
    <row r="14" spans="1:11">
      <c r="A14" s="11" t="s">
        <v>225</v>
      </c>
      <c r="B14" s="65">
        <f>'SWHAT - Acct Detail'!B25</f>
        <v>15520</v>
      </c>
      <c r="D14" s="1">
        <f>'SWHAT - Acct Detail'!D25</f>
        <v>8162.62</v>
      </c>
      <c r="E14" s="1">
        <f>'SWHAT - Acct Detail'!E25</f>
        <v>7384.2800000000016</v>
      </c>
      <c r="F14" s="1">
        <f>'SWHAT - Acct Detail'!F25</f>
        <v>15546.900000000001</v>
      </c>
      <c r="G14" s="1">
        <v>13970</v>
      </c>
      <c r="H14" s="1">
        <v>16046.11</v>
      </c>
      <c r="I14" s="1">
        <v>14034.3</v>
      </c>
      <c r="J14" s="12">
        <f t="shared" si="0"/>
        <v>1.1109520400858983</v>
      </c>
      <c r="K14" s="89">
        <f t="shared" si="1"/>
        <v>26.900000000001455</v>
      </c>
    </row>
    <row r="15" spans="1:11">
      <c r="A15" s="11" t="s">
        <v>226</v>
      </c>
      <c r="B15" s="65">
        <f>'QSCC - Acct Detail'!B28</f>
        <v>14504</v>
      </c>
      <c r="D15" s="1">
        <f>'QSCC - Acct Detail'!D28</f>
        <v>7771.12</v>
      </c>
      <c r="E15" s="1">
        <f>'QSCC - Acct Detail'!E28</f>
        <v>3493.5499999999997</v>
      </c>
      <c r="F15" s="1">
        <f>'QSCC - Acct Detail'!F28</f>
        <v>11264.67</v>
      </c>
      <c r="G15" s="1">
        <v>13104</v>
      </c>
      <c r="H15" s="1">
        <v>10904.13</v>
      </c>
      <c r="I15" s="1">
        <v>7468.54</v>
      </c>
      <c r="J15" s="12">
        <f t="shared" si="0"/>
        <v>1.1068376068376069</v>
      </c>
      <c r="K15" s="89">
        <f t="shared" si="1"/>
        <v>-3239.33</v>
      </c>
    </row>
    <row r="16" spans="1:11">
      <c r="A16" s="11" t="s">
        <v>227</v>
      </c>
      <c r="B16" s="65">
        <f>'MAROONS - Acct Detail'!B26</f>
        <v>18990</v>
      </c>
      <c r="D16" s="1">
        <f>'MAROONS - Acct Detail'!D26</f>
        <v>14876.629999999997</v>
      </c>
      <c r="E16" s="1">
        <f>'MAROONS - Acct Detail'!E26</f>
        <v>2855.5</v>
      </c>
      <c r="F16" s="1">
        <f>'MAROONS - Acct Detail'!F26</f>
        <v>17732.13</v>
      </c>
      <c r="G16" s="1">
        <v>18090</v>
      </c>
      <c r="H16" s="1">
        <v>18039.759999999998</v>
      </c>
      <c r="I16" s="1">
        <v>16736.400000000001</v>
      </c>
      <c r="J16" s="12">
        <f t="shared" si="0"/>
        <v>1.0497512437810945</v>
      </c>
      <c r="K16" s="89">
        <f t="shared" si="1"/>
        <v>-1257.869999999999</v>
      </c>
    </row>
    <row r="17" spans="1:11">
      <c r="A17" s="11" t="s">
        <v>228</v>
      </c>
      <c r="B17" s="65">
        <f>'CLAY - Acct Detail'!B22</f>
        <v>20302</v>
      </c>
      <c r="D17" s="1">
        <f>'CLAY - Acct Detail'!D22</f>
        <v>26915.059999999998</v>
      </c>
      <c r="E17" s="1">
        <f>'CLAY - Acct Detail'!E22</f>
        <v>3386.18</v>
      </c>
      <c r="F17" s="1">
        <f>'CLAY - Acct Detail'!F22</f>
        <v>30301.240000000005</v>
      </c>
      <c r="G17" s="1">
        <v>19402</v>
      </c>
      <c r="H17" s="1">
        <v>21586.99</v>
      </c>
      <c r="I17" s="1">
        <v>21577.99</v>
      </c>
      <c r="J17" s="12">
        <f t="shared" si="0"/>
        <v>1.0463869704154212</v>
      </c>
      <c r="K17" s="89">
        <f t="shared" si="1"/>
        <v>9999.2400000000052</v>
      </c>
    </row>
    <row r="18" spans="1:11">
      <c r="A18" s="55" t="s">
        <v>229</v>
      </c>
      <c r="B18" s="65">
        <f>'FIT - Acct Detail'!B22</f>
        <v>16370</v>
      </c>
      <c r="C18" s="39"/>
      <c r="D18" s="1">
        <f>'FIT - Acct Detail'!D22</f>
        <v>28357.049999999985</v>
      </c>
      <c r="E18" s="1">
        <f>'FIT - Acct Detail'!E22</f>
        <v>551.6099999999999</v>
      </c>
      <c r="F18" s="38">
        <f>'FIT - Acct Detail'!F22</f>
        <v>28908.66</v>
      </c>
      <c r="G18" s="1">
        <v>19684</v>
      </c>
      <c r="H18" s="1">
        <v>25219.79</v>
      </c>
      <c r="I18" s="1">
        <v>19095.14</v>
      </c>
      <c r="J18" s="12">
        <f t="shared" si="0"/>
        <v>0.83163991058727904</v>
      </c>
      <c r="K18" s="89">
        <f t="shared" si="1"/>
        <v>12538.66</v>
      </c>
    </row>
    <row r="19" spans="1:11">
      <c r="A19" s="11" t="s">
        <v>230</v>
      </c>
      <c r="B19" s="65">
        <v>0</v>
      </c>
      <c r="C19" s="40"/>
      <c r="H19" s="1">
        <v>3035.28</v>
      </c>
      <c r="I19" s="1">
        <v>3043.54</v>
      </c>
      <c r="J19" s="12"/>
      <c r="K19" s="89">
        <f t="shared" si="1"/>
        <v>0</v>
      </c>
    </row>
    <row r="20" spans="1:11">
      <c r="A20" s="11" t="s">
        <v>231</v>
      </c>
      <c r="B20" s="65">
        <f>'HORIZONS - Acct Detail'!B21</f>
        <v>18170</v>
      </c>
      <c r="C20" s="40"/>
      <c r="D20" s="1">
        <f>'HORIZONS - Acct Detail'!D21</f>
        <v>18676.96</v>
      </c>
      <c r="E20" s="1">
        <f>'HORIZONS - Acct Detail'!E21</f>
        <v>667.38</v>
      </c>
      <c r="F20" s="1">
        <f>'HORIZONS - Acct Detail'!F21</f>
        <v>19344.34</v>
      </c>
      <c r="G20" s="1">
        <v>17870</v>
      </c>
      <c r="H20" s="1">
        <v>15590.19</v>
      </c>
      <c r="I20" s="1">
        <v>14588.88</v>
      </c>
      <c r="J20" s="12">
        <f>B20/G20</f>
        <v>1.0167879127028538</v>
      </c>
      <c r="K20" s="89">
        <f t="shared" si="1"/>
        <v>1174.3400000000001</v>
      </c>
    </row>
    <row r="21" spans="1:11">
      <c r="A21" s="11" t="s">
        <v>232</v>
      </c>
      <c r="B21" s="65">
        <f>'SPARK - Acct Detail'!B19</f>
        <v>12260</v>
      </c>
      <c r="C21" s="40"/>
      <c r="D21" s="1">
        <f>'SPARK - Acct Detail'!D19</f>
        <v>7248.74</v>
      </c>
      <c r="E21" s="1">
        <f>'SPARK - Acct Detail'!E19</f>
        <v>3714.37</v>
      </c>
      <c r="F21" s="1">
        <f>'SPARK - Acct Detail'!F19</f>
        <v>10963.109999999999</v>
      </c>
      <c r="G21" s="1">
        <v>11760</v>
      </c>
      <c r="J21" s="12">
        <f>B21/G21</f>
        <v>1.0425170068027212</v>
      </c>
      <c r="K21" s="89">
        <f t="shared" si="1"/>
        <v>-1296.8900000000012</v>
      </c>
    </row>
    <row r="22" spans="1:11">
      <c r="A22" s="55" t="s">
        <v>233</v>
      </c>
      <c r="B22" s="65">
        <f>'CLUBS - Acct Detail'!B31</f>
        <v>160525</v>
      </c>
      <c r="C22" s="39"/>
      <c r="D22" s="1">
        <f>'CLUBS - Acct Detail'!D31</f>
        <v>60615.450000000004</v>
      </c>
      <c r="E22" s="1">
        <f>'CLUBS - Acct Detail'!E31</f>
        <v>63842.0285</v>
      </c>
      <c r="F22" s="37">
        <f>D22+E22</f>
        <v>124457.4785</v>
      </c>
      <c r="G22" s="1">
        <v>158900</v>
      </c>
      <c r="H22" s="1">
        <v>114265.72</v>
      </c>
      <c r="I22" s="1">
        <v>121535.16</v>
      </c>
      <c r="J22" s="12">
        <f>B22/G22</f>
        <v>1.0102265575833858</v>
      </c>
      <c r="K22" s="89">
        <f t="shared" si="1"/>
        <v>-36067.521500000003</v>
      </c>
    </row>
    <row r="23" spans="1:11">
      <c r="A23" s="11" t="s">
        <v>234</v>
      </c>
      <c r="B23" s="65">
        <f>'ELECTIONS - Acct Detail'!B27</f>
        <v>28474</v>
      </c>
      <c r="D23" s="1">
        <f>'ELECTIONS - Acct Detail'!D27</f>
        <v>6727.66</v>
      </c>
      <c r="E23" s="1">
        <f>'ELECTIONS - Acct Detail'!E27</f>
        <v>16355.180000000002</v>
      </c>
      <c r="F23" s="1">
        <f>'ELECTIONS - Acct Detail'!F27</f>
        <v>23082.84</v>
      </c>
      <c r="G23" s="1">
        <v>27624</v>
      </c>
      <c r="H23" s="1">
        <v>21017.24</v>
      </c>
      <c r="I23" s="1">
        <v>24250.77</v>
      </c>
      <c r="J23" s="12">
        <f>B23/G23</f>
        <v>1.0307703446278598</v>
      </c>
      <c r="K23" s="89">
        <f t="shared" si="1"/>
        <v>-5391.16</v>
      </c>
    </row>
    <row r="24" spans="1:11">
      <c r="A24" s="11" t="s">
        <v>235</v>
      </c>
      <c r="B24" s="65">
        <f>'MACGREEN - Acct Detail'!B27</f>
        <v>19370</v>
      </c>
      <c r="D24" s="1">
        <f>'MACGREEN - Acct Detail'!D27</f>
        <v>15643.560000000001</v>
      </c>
      <c r="E24" s="1">
        <f>'MACGREEN - Acct Detail'!E27</f>
        <v>3572.45</v>
      </c>
      <c r="F24" s="1">
        <f>'MACGREEN - Acct Detail'!F27</f>
        <v>19216.009999999998</v>
      </c>
      <c r="G24" s="1">
        <v>18345</v>
      </c>
      <c r="H24" s="1">
        <v>15962.13</v>
      </c>
      <c r="I24" s="1">
        <v>17674.79</v>
      </c>
      <c r="J24" s="12">
        <f>B24/G24</f>
        <v>1.0558735350231672</v>
      </c>
      <c r="K24" s="89">
        <f t="shared" si="1"/>
        <v>-153.9900000000016</v>
      </c>
    </row>
    <row r="25" spans="1:11">
      <c r="A25" s="11" t="s">
        <v>236</v>
      </c>
      <c r="B25" s="65">
        <f>'EXECUTIVE - Acct Detail'!B52</f>
        <v>469530</v>
      </c>
      <c r="D25" s="1">
        <f>'EXECUTIVE - Acct Detail'!D52</f>
        <v>309957.17</v>
      </c>
      <c r="E25" s="1">
        <f>'EXECUTIVE - Acct Detail'!E52</f>
        <v>155786.52999999997</v>
      </c>
      <c r="F25" s="1">
        <f>'EXECUTIVE - Acct Detail'!F52</f>
        <v>465743.6999999999</v>
      </c>
      <c r="G25" s="1">
        <v>456020</v>
      </c>
      <c r="H25" s="1">
        <v>461483.39</v>
      </c>
      <c r="I25" s="1">
        <v>428234.48</v>
      </c>
      <c r="J25" s="12">
        <f t="shared" ref="J25:J35" si="2">B25/G25</f>
        <v>1.0296258936011577</v>
      </c>
      <c r="K25" s="89">
        <f t="shared" si="1"/>
        <v>-3786.3000000001048</v>
      </c>
    </row>
    <row r="26" spans="1:11">
      <c r="A26" s="11" t="s">
        <v>237</v>
      </c>
      <c r="B26" s="65">
        <f>'SCSN - Acct Detail'!B25</f>
        <v>30190</v>
      </c>
      <c r="D26" s="1">
        <f>'SCSN - Acct Detail'!D25</f>
        <v>18506.550000000003</v>
      </c>
      <c r="E26" s="1">
        <f>'SCSN - Acct Detail'!E25</f>
        <v>11745.2</v>
      </c>
      <c r="F26" s="1">
        <f>'SCSN - Acct Detail'!F25</f>
        <v>30251.750000000004</v>
      </c>
      <c r="G26" s="1">
        <v>30355</v>
      </c>
      <c r="H26" s="1">
        <v>28113.59</v>
      </c>
      <c r="I26" s="1">
        <v>27078.91</v>
      </c>
      <c r="J26" s="12">
        <f t="shared" si="2"/>
        <v>0.9945643221874485</v>
      </c>
      <c r="K26" s="89">
        <f t="shared" si="1"/>
        <v>61.750000000003638</v>
      </c>
    </row>
    <row r="27" spans="1:11">
      <c r="A27" s="11" t="s">
        <v>238</v>
      </c>
      <c r="B27" s="65">
        <f>'WGEN - Acct Detail'!B19</f>
        <v>13200</v>
      </c>
      <c r="D27" s="1">
        <f>'WGEN - Acct Detail'!D19</f>
        <v>2644.81</v>
      </c>
      <c r="E27" s="1">
        <f>'WGEN - Acct Detail'!E19</f>
        <v>5379.62</v>
      </c>
      <c r="F27" s="1">
        <f>'WGEN - Acct Detail'!F19</f>
        <v>8024.43</v>
      </c>
      <c r="G27" s="1">
        <v>11760</v>
      </c>
      <c r="J27" s="12">
        <f t="shared" si="2"/>
        <v>1.1224489795918366</v>
      </c>
      <c r="K27" s="89">
        <f t="shared" si="1"/>
        <v>-5175.57</v>
      </c>
    </row>
    <row r="28" spans="1:11">
      <c r="A28" s="11" t="s">
        <v>239</v>
      </c>
      <c r="B28" s="65">
        <f>'PUBLIC RELNS - Acct Detail'!B30</f>
        <v>233125</v>
      </c>
      <c r="D28" s="1">
        <f>'PUBLIC RELNS - Acct Detail'!D30</f>
        <v>137378.65999999997</v>
      </c>
      <c r="E28" s="1">
        <f>'PUBLIC RELNS - Acct Detail'!E30</f>
        <v>80768.284999999989</v>
      </c>
      <c r="F28" s="1">
        <f>'PUBLIC RELNS - Acct Detail'!F30</f>
        <v>218146.94500000004</v>
      </c>
      <c r="G28" s="1">
        <v>219433</v>
      </c>
      <c r="H28" s="1">
        <v>207952.71</v>
      </c>
      <c r="I28" s="1">
        <v>122976.71</v>
      </c>
      <c r="J28" s="12">
        <f t="shared" si="2"/>
        <v>1.0623971781819508</v>
      </c>
      <c r="K28" s="89">
        <f t="shared" si="1"/>
        <v>-14978.054999999964</v>
      </c>
    </row>
    <row r="29" spans="1:11">
      <c r="A29" s="11" t="s">
        <v>240</v>
      </c>
      <c r="B29" s="65">
        <f>'TEACHING AWARDS - Acct Detail'!B19</f>
        <v>6290</v>
      </c>
      <c r="D29" s="1">
        <f>'TEACHING AWARDS - Acct Detail'!D19</f>
        <v>2965.2000000000003</v>
      </c>
      <c r="E29" s="1">
        <f>'TEACHING AWARDS - Acct Detail'!E19</f>
        <v>2875.1200000000003</v>
      </c>
      <c r="F29" s="1">
        <f>'TEACHING AWARDS - Acct Detail'!F19</f>
        <v>5840.3200000000006</v>
      </c>
      <c r="G29" s="1">
        <v>5660</v>
      </c>
      <c r="H29" s="1">
        <v>4916.68</v>
      </c>
      <c r="I29" s="1">
        <v>5373.13</v>
      </c>
      <c r="J29" s="12">
        <f t="shared" si="2"/>
        <v>1.1113074204946995</v>
      </c>
      <c r="K29" s="89">
        <f t="shared" si="1"/>
        <v>-449.67999999999938</v>
      </c>
    </row>
    <row r="30" spans="1:11">
      <c r="A30" s="11" t="s">
        <v>241</v>
      </c>
      <c r="B30" s="65">
        <f>'PEER SUPPORT - Acct Detail'!B24</f>
        <v>17200</v>
      </c>
      <c r="D30" s="1">
        <f>'PEER SUPPORT - Acct Detail'!D24</f>
        <v>5466.79</v>
      </c>
      <c r="E30" s="1">
        <f>'PEER SUPPORT - Acct Detail'!E24</f>
        <v>8951.24</v>
      </c>
      <c r="F30" s="1">
        <f>'PEER SUPPORT - Acct Detail'!F24</f>
        <v>14418.03</v>
      </c>
      <c r="G30" s="1">
        <v>17050</v>
      </c>
      <c r="H30" s="1">
        <v>19212.59</v>
      </c>
      <c r="J30" s="12">
        <f t="shared" si="2"/>
        <v>1.0087976539589443</v>
      </c>
      <c r="K30" s="89">
        <f t="shared" si="1"/>
        <v>-2781.9699999999993</v>
      </c>
    </row>
    <row r="31" spans="1:11">
      <c r="A31" s="11" t="s">
        <v>242</v>
      </c>
      <c r="B31" s="65">
        <f>'DIVERSITY - Acct Detail'!B23</f>
        <v>28294</v>
      </c>
      <c r="D31" s="1">
        <f>'DIVERSITY - Acct Detail'!D23</f>
        <v>12205.300000000001</v>
      </c>
      <c r="E31" s="1">
        <f>'DIVERSITY - Acct Detail'!E23</f>
        <v>11840.92</v>
      </c>
      <c r="F31" s="1">
        <f>'DIVERSITY - Acct Detail'!F23</f>
        <v>24046.219999999998</v>
      </c>
      <c r="G31" s="1">
        <v>25274</v>
      </c>
      <c r="H31" s="1">
        <v>22650.86</v>
      </c>
      <c r="I31" s="1">
        <v>17062.36</v>
      </c>
      <c r="J31" s="12">
        <f t="shared" si="2"/>
        <v>1.1194903853762761</v>
      </c>
      <c r="K31" s="89">
        <f t="shared" si="1"/>
        <v>-4247.7800000000025</v>
      </c>
    </row>
    <row r="32" spans="1:11">
      <c r="A32" s="11" t="s">
        <v>243</v>
      </c>
      <c r="B32" s="65">
        <f>'BREAD BIN - Acct Detail'!B24</f>
        <v>12804</v>
      </c>
      <c r="D32" s="1">
        <f>'BREAD BIN - Acct Detail'!D24</f>
        <v>2243.9500000000003</v>
      </c>
      <c r="E32" s="1">
        <f>'BREAD BIN - Acct Detail'!E24</f>
        <v>6016.4660000000003</v>
      </c>
      <c r="F32" s="1">
        <f>'BREAD BIN - Acct Detail'!F24</f>
        <v>9708.4060000000009</v>
      </c>
      <c r="G32" s="1">
        <v>12265</v>
      </c>
      <c r="H32" s="1">
        <v>10367.549999999999</v>
      </c>
      <c r="I32" s="1">
        <v>10853.31</v>
      </c>
      <c r="J32" s="12">
        <f t="shared" si="2"/>
        <v>1.0439461883408072</v>
      </c>
      <c r="K32" s="89">
        <f t="shared" si="1"/>
        <v>-3095.5939999999991</v>
      </c>
    </row>
    <row r="33" spans="1:11">
      <c r="A33" s="11" t="s">
        <v>244</v>
      </c>
      <c r="B33" s="65">
        <f>'FYC - Acct Detail'!B19</f>
        <v>2820</v>
      </c>
      <c r="D33" s="1">
        <f>'FYC - Acct Detail'!D19</f>
        <v>543.38000000000011</v>
      </c>
      <c r="E33" s="1">
        <f>'FYC - Acct Detail'!E19</f>
        <v>427.29</v>
      </c>
      <c r="F33" s="1">
        <f>'FYC - Acct Detail'!F19</f>
        <v>970.67000000000007</v>
      </c>
      <c r="G33" s="1">
        <v>4500</v>
      </c>
      <c r="H33" s="1">
        <v>538.52</v>
      </c>
      <c r="I33" s="1">
        <v>3141.02</v>
      </c>
      <c r="J33" s="12">
        <f t="shared" si="2"/>
        <v>0.62666666666666671</v>
      </c>
      <c r="K33" s="89">
        <f t="shared" si="1"/>
        <v>-1849.33</v>
      </c>
    </row>
    <row r="34" spans="1:11">
      <c r="B34" s="66" t="s">
        <v>21</v>
      </c>
      <c r="D34" s="13" t="s">
        <v>21</v>
      </c>
      <c r="E34" s="13"/>
      <c r="F34" s="13" t="s">
        <v>21</v>
      </c>
      <c r="G34" s="13" t="s">
        <v>21</v>
      </c>
      <c r="H34" s="13" t="s">
        <v>21</v>
      </c>
      <c r="I34" s="13" t="s">
        <v>21</v>
      </c>
      <c r="J34" s="13" t="s">
        <v>21</v>
      </c>
    </row>
    <row r="35" spans="1:11">
      <c r="A35" s="11" t="s">
        <v>22</v>
      </c>
      <c r="B35" s="68">
        <f>SUM(B11:B33)</f>
        <v>1216880</v>
      </c>
      <c r="C35" s="11"/>
      <c r="D35" s="1">
        <f>SUM(D11:D33)</f>
        <v>708360.18</v>
      </c>
      <c r="E35" s="1">
        <f>SUM(E11:E33)</f>
        <v>444055.7784999999</v>
      </c>
      <c r="F35" s="1">
        <f>SUM(F11:F33)</f>
        <v>1153863.9484999999</v>
      </c>
      <c r="G35" s="1">
        <v>1182911</v>
      </c>
      <c r="H35" s="1">
        <v>1094864.23</v>
      </c>
      <c r="I35" s="1">
        <v>968210.99</v>
      </c>
      <c r="J35" s="12">
        <f t="shared" si="2"/>
        <v>1.0287164461231657</v>
      </c>
      <c r="K35" s="11"/>
    </row>
    <row r="36" spans="1:11">
      <c r="B36" s="66" t="s">
        <v>21</v>
      </c>
      <c r="D36" s="13" t="s">
        <v>21</v>
      </c>
      <c r="E36" s="13"/>
      <c r="F36" s="13" t="s">
        <v>21</v>
      </c>
      <c r="G36" s="13" t="s">
        <v>21</v>
      </c>
      <c r="H36" s="13" t="s">
        <v>21</v>
      </c>
      <c r="I36" s="13" t="s">
        <v>21</v>
      </c>
      <c r="J36" s="13" t="s">
        <v>21</v>
      </c>
    </row>
    <row r="37" spans="1:11">
      <c r="B37" s="64"/>
    </row>
    <row r="38" spans="1:11">
      <c r="B38" s="60"/>
    </row>
    <row r="39" spans="1:11">
      <c r="A39" t="s">
        <v>927</v>
      </c>
      <c r="B39" s="60"/>
      <c r="D39" s="1" t="s">
        <v>937</v>
      </c>
    </row>
    <row r="40" spans="1:11">
      <c r="B40" s="60"/>
    </row>
    <row r="41" spans="1:11">
      <c r="B41" s="60"/>
    </row>
    <row r="42" spans="1:11" ht="19.5" customHeight="1" thickBot="1">
      <c r="A42" s="11" t="s">
        <v>22</v>
      </c>
      <c r="B42" s="90">
        <f>SUM(B35:B40)</f>
        <v>1216880</v>
      </c>
    </row>
    <row r="43" spans="1:11" ht="13.5" thickTop="1">
      <c r="B43" s="60"/>
    </row>
    <row r="44" spans="1:11">
      <c r="B44" s="60"/>
    </row>
    <row r="45" spans="1:11">
      <c r="B45" s="60"/>
    </row>
    <row r="46" spans="1:11">
      <c r="B46" s="60"/>
    </row>
    <row r="47" spans="1:11">
      <c r="B47" s="60"/>
    </row>
    <row r="48" spans="1:11">
      <c r="B48" s="60"/>
    </row>
    <row r="49" spans="2:2">
      <c r="B49" s="60"/>
    </row>
  </sheetData>
  <mergeCells count="3">
    <mergeCell ref="A1:J1"/>
    <mergeCell ref="A2:J2"/>
    <mergeCell ref="A3:J3"/>
  </mergeCells>
  <phoneticPr fontId="0" type="noConversion"/>
  <pageMargins left="0.75" right="0.75" top="0.75" bottom="0.7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58"/>
  <sheetViews>
    <sheetView workbookViewId="0">
      <pane ySplit="8" topLeftCell="A9" activePane="bottomLeft" state="frozenSplit"/>
      <selection pane="bottomLeft" activeCell="A41" sqref="A41"/>
    </sheetView>
  </sheetViews>
  <sheetFormatPr defaultColWidth="9.1640625" defaultRowHeight="12.75" outlineLevelCol="1"/>
  <cols>
    <col min="1" max="1" width="55.5" customWidth="1"/>
    <col min="2" max="2" width="14.5" customWidth="1"/>
    <col min="3" max="3" width="2.832031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951</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c r="B10" s="14"/>
    </row>
    <row r="11" spans="1:11">
      <c r="A11" s="11" t="s">
        <v>245</v>
      </c>
      <c r="B11" s="65">
        <v>-55000</v>
      </c>
      <c r="D11" s="35">
        <v>-36384.639999999999</v>
      </c>
      <c r="E11" s="1">
        <v>-18480</v>
      </c>
      <c r="F11" s="1">
        <f>D11+E11</f>
        <v>-54864.639999999999</v>
      </c>
      <c r="G11" s="1">
        <v>-47000</v>
      </c>
      <c r="H11" s="1">
        <v>-53107.28</v>
      </c>
      <c r="I11" s="1">
        <v>-38710.81</v>
      </c>
      <c r="J11" s="12">
        <f>B11/G11</f>
        <v>1.1702127659574468</v>
      </c>
    </row>
    <row r="12" spans="1:11">
      <c r="A12" s="11" t="s">
        <v>246</v>
      </c>
      <c r="B12" s="65">
        <v>-18000</v>
      </c>
      <c r="D12" s="35">
        <v>-19476.05</v>
      </c>
      <c r="E12" s="1">
        <v>-428.25</v>
      </c>
      <c r="F12" s="1">
        <f t="shared" ref="F12:F31" si="0">D12+E12</f>
        <v>-19904.3</v>
      </c>
      <c r="G12" s="1">
        <v>-18000</v>
      </c>
      <c r="H12" s="1">
        <v>-19028.25</v>
      </c>
      <c r="I12" s="1">
        <v>-18396.5</v>
      </c>
      <c r="J12" s="12">
        <f t="shared" ref="J12:J34" si="1">B12/G12</f>
        <v>1</v>
      </c>
    </row>
    <row r="13" spans="1:11">
      <c r="A13" s="11" t="s">
        <v>247</v>
      </c>
      <c r="B13" s="65">
        <v>-500</v>
      </c>
      <c r="F13" s="1">
        <f t="shared" si="0"/>
        <v>0</v>
      </c>
      <c r="G13" s="1">
        <v>-500</v>
      </c>
      <c r="I13" s="1">
        <v>-500</v>
      </c>
      <c r="J13" s="12">
        <f t="shared" si="1"/>
        <v>1</v>
      </c>
    </row>
    <row r="14" spans="1:11">
      <c r="A14" s="11" t="s">
        <v>248</v>
      </c>
      <c r="B14" s="65">
        <v>750</v>
      </c>
      <c r="D14" s="35">
        <v>291.11</v>
      </c>
      <c r="E14" s="1">
        <v>200</v>
      </c>
      <c r="F14" s="1">
        <f t="shared" si="0"/>
        <v>491.11</v>
      </c>
      <c r="G14" s="1">
        <v>750</v>
      </c>
      <c r="H14" s="1">
        <v>619.9</v>
      </c>
      <c r="I14" s="1">
        <v>848.56</v>
      </c>
      <c r="J14" s="12">
        <f t="shared" si="1"/>
        <v>1</v>
      </c>
    </row>
    <row r="15" spans="1:11">
      <c r="A15" s="11" t="s">
        <v>249</v>
      </c>
      <c r="B15" s="65">
        <v>432</v>
      </c>
      <c r="D15" s="35">
        <v>282.39999999999998</v>
      </c>
      <c r="E15" s="1">
        <v>141.19999999999999</v>
      </c>
      <c r="F15" s="1">
        <f t="shared" si="0"/>
        <v>423.59999999999997</v>
      </c>
      <c r="G15" s="1">
        <v>432</v>
      </c>
      <c r="H15" s="1">
        <v>423.6</v>
      </c>
      <c r="I15" s="1">
        <v>423.6</v>
      </c>
      <c r="J15" s="12">
        <f t="shared" si="1"/>
        <v>1</v>
      </c>
    </row>
    <row r="16" spans="1:11">
      <c r="A16" s="11" t="s">
        <v>250</v>
      </c>
      <c r="B16" s="65">
        <v>800</v>
      </c>
      <c r="D16" s="35">
        <v>671.48</v>
      </c>
      <c r="E16" s="1">
        <v>98.24</v>
      </c>
      <c r="F16" s="1">
        <f t="shared" si="0"/>
        <v>769.72</v>
      </c>
      <c r="G16" s="1">
        <v>800</v>
      </c>
      <c r="H16" s="1">
        <v>547.55999999999995</v>
      </c>
      <c r="I16" s="1">
        <v>847.41</v>
      </c>
      <c r="J16" s="12">
        <f t="shared" si="1"/>
        <v>1</v>
      </c>
    </row>
    <row r="17" spans="1:10">
      <c r="A17" s="11" t="s">
        <v>251</v>
      </c>
      <c r="B17" s="65">
        <v>12000</v>
      </c>
      <c r="D17" s="35">
        <v>7869.8</v>
      </c>
      <c r="E17" s="1">
        <f>3595.88*1.1</f>
        <v>3955.4680000000003</v>
      </c>
      <c r="F17" s="1">
        <f t="shared" si="0"/>
        <v>11825.268</v>
      </c>
      <c r="G17" s="1">
        <v>12000</v>
      </c>
      <c r="H17" s="1">
        <v>11900.71</v>
      </c>
      <c r="I17" s="1">
        <v>14594.29</v>
      </c>
      <c r="J17" s="12">
        <f t="shared" si="1"/>
        <v>1</v>
      </c>
    </row>
    <row r="18" spans="1:10">
      <c r="A18" s="11" t="s">
        <v>252</v>
      </c>
      <c r="B18" s="65">
        <v>400</v>
      </c>
      <c r="D18" s="35">
        <v>156.28</v>
      </c>
      <c r="E18" s="1">
        <v>1084.76</v>
      </c>
      <c r="F18" s="1">
        <f t="shared" si="0"/>
        <v>1241.04</v>
      </c>
      <c r="G18" s="1">
        <v>400</v>
      </c>
      <c r="H18" s="1">
        <v>1346.29</v>
      </c>
      <c r="I18" s="1">
        <v>117.91</v>
      </c>
      <c r="J18" s="12">
        <f t="shared" si="1"/>
        <v>1</v>
      </c>
    </row>
    <row r="19" spans="1:10">
      <c r="A19" s="11" t="s">
        <v>253</v>
      </c>
      <c r="B19" s="65">
        <v>750</v>
      </c>
      <c r="D19" s="35"/>
      <c r="E19" s="1">
        <v>500</v>
      </c>
      <c r="F19" s="1">
        <f t="shared" si="0"/>
        <v>500</v>
      </c>
      <c r="G19" s="1">
        <v>750</v>
      </c>
      <c r="H19" s="1">
        <v>532.89</v>
      </c>
      <c r="I19" s="1">
        <v>1905.12</v>
      </c>
      <c r="J19" s="12">
        <f t="shared" si="1"/>
        <v>1</v>
      </c>
    </row>
    <row r="20" spans="1:10">
      <c r="A20" s="11" t="s">
        <v>254</v>
      </c>
      <c r="B20" s="65">
        <v>8500</v>
      </c>
      <c r="D20" s="35">
        <v>863.08</v>
      </c>
      <c r="E20" s="1">
        <f>5818.85*1.1</f>
        <v>6400.7350000000006</v>
      </c>
      <c r="F20" s="1">
        <f t="shared" si="0"/>
        <v>7263.8150000000005</v>
      </c>
      <c r="G20" s="1">
        <v>8500</v>
      </c>
      <c r="H20" s="1">
        <v>9847.98</v>
      </c>
      <c r="I20" s="1">
        <v>14835.34</v>
      </c>
      <c r="J20" s="12">
        <f t="shared" si="1"/>
        <v>1</v>
      </c>
    </row>
    <row r="21" spans="1:10">
      <c r="A21" s="11" t="s">
        <v>255</v>
      </c>
      <c r="B21" s="65">
        <v>4000</v>
      </c>
      <c r="D21" s="35">
        <v>3968.03</v>
      </c>
      <c r="E21" s="1">
        <v>0</v>
      </c>
      <c r="F21" s="1">
        <f t="shared" si="0"/>
        <v>3968.03</v>
      </c>
      <c r="G21" s="1">
        <v>3000</v>
      </c>
      <c r="H21" s="1">
        <v>3630</v>
      </c>
      <c r="J21" s="12">
        <f t="shared" si="1"/>
        <v>1.3333333333333333</v>
      </c>
    </row>
    <row r="22" spans="1:10">
      <c r="A22" s="11" t="s">
        <v>256</v>
      </c>
      <c r="B22" s="65">
        <v>4500</v>
      </c>
      <c r="D22" s="35">
        <v>1881.82</v>
      </c>
      <c r="E22" s="1">
        <f>2766.77*1.1</f>
        <v>3043.4470000000001</v>
      </c>
      <c r="F22" s="1">
        <f t="shared" si="0"/>
        <v>4925.2669999999998</v>
      </c>
      <c r="G22" s="1">
        <v>4500</v>
      </c>
      <c r="H22" s="1">
        <v>5792.15</v>
      </c>
      <c r="I22" s="1">
        <v>4552.75</v>
      </c>
      <c r="J22" s="12">
        <f t="shared" si="1"/>
        <v>1</v>
      </c>
    </row>
    <row r="23" spans="1:10">
      <c r="A23" s="11" t="s">
        <v>257</v>
      </c>
      <c r="B23" s="65">
        <v>2000</v>
      </c>
      <c r="D23" s="35">
        <v>1450.44</v>
      </c>
      <c r="E23" s="1">
        <f>646*1.5</f>
        <v>969</v>
      </c>
      <c r="F23" s="1">
        <f t="shared" si="0"/>
        <v>2419.44</v>
      </c>
      <c r="G23" s="1">
        <v>2000</v>
      </c>
      <c r="H23" s="1">
        <v>2628.14</v>
      </c>
      <c r="I23" s="1">
        <v>1129.28</v>
      </c>
      <c r="J23" s="12">
        <f t="shared" si="1"/>
        <v>1</v>
      </c>
    </row>
    <row r="24" spans="1:10">
      <c r="A24" s="11" t="s">
        <v>258</v>
      </c>
      <c r="B24" s="65">
        <v>2000</v>
      </c>
      <c r="D24" s="35">
        <v>929.63</v>
      </c>
      <c r="E24" s="1">
        <v>3174.22</v>
      </c>
      <c r="F24" s="1">
        <f t="shared" si="0"/>
        <v>4103.8499999999995</v>
      </c>
      <c r="G24" s="1">
        <v>2000</v>
      </c>
      <c r="H24" s="1">
        <v>3174.22</v>
      </c>
      <c r="I24" s="1">
        <v>4060.86</v>
      </c>
      <c r="J24" s="12">
        <f t="shared" si="1"/>
        <v>1</v>
      </c>
    </row>
    <row r="25" spans="1:10">
      <c r="A25" s="11" t="s">
        <v>259</v>
      </c>
      <c r="B25" s="65">
        <v>16000</v>
      </c>
      <c r="D25" s="35">
        <v>10557.58</v>
      </c>
      <c r="E25" s="1">
        <v>5539.51</v>
      </c>
      <c r="F25" s="1">
        <f t="shared" si="0"/>
        <v>16097.09</v>
      </c>
      <c r="G25" s="1">
        <v>12000</v>
      </c>
      <c r="H25" s="1">
        <v>15736.74</v>
      </c>
      <c r="I25" s="1">
        <v>14322.65</v>
      </c>
      <c r="J25" s="12">
        <f t="shared" si="1"/>
        <v>1.3333333333333333</v>
      </c>
    </row>
    <row r="26" spans="1:10">
      <c r="A26" s="11" t="s">
        <v>260</v>
      </c>
      <c r="B26" s="65">
        <v>15000</v>
      </c>
      <c r="D26" s="35">
        <v>5473.96</v>
      </c>
      <c r="E26" s="1">
        <v>9234.6</v>
      </c>
      <c r="F26" s="1">
        <f t="shared" si="0"/>
        <v>14708.560000000001</v>
      </c>
      <c r="G26" s="1">
        <v>11000</v>
      </c>
      <c r="H26" s="1">
        <v>11688.24</v>
      </c>
      <c r="I26" s="1">
        <v>16445.47</v>
      </c>
      <c r="J26" s="12">
        <f t="shared" si="1"/>
        <v>1.3636363636363635</v>
      </c>
    </row>
    <row r="27" spans="1:10">
      <c r="A27" s="11" t="s">
        <v>261</v>
      </c>
      <c r="B27" s="65">
        <v>500</v>
      </c>
      <c r="D27" s="35">
        <v>493.49</v>
      </c>
      <c r="E27" s="1">
        <v>0</v>
      </c>
      <c r="F27" s="1">
        <f t="shared" si="0"/>
        <v>493.49</v>
      </c>
      <c r="G27" s="1">
        <v>500</v>
      </c>
      <c r="I27" s="1">
        <v>26.94</v>
      </c>
      <c r="J27" s="12">
        <f t="shared" si="1"/>
        <v>1</v>
      </c>
    </row>
    <row r="28" spans="1:10">
      <c r="A28" s="11" t="s">
        <v>262</v>
      </c>
      <c r="B28" s="65">
        <v>38000</v>
      </c>
      <c r="D28" s="35">
        <v>21460.86</v>
      </c>
      <c r="E28" s="1">
        <f>10195.88*1.4</f>
        <v>14274.231999999998</v>
      </c>
      <c r="F28" s="1">
        <f t="shared" si="0"/>
        <v>35735.091999999997</v>
      </c>
      <c r="G28" s="1">
        <v>38725</v>
      </c>
      <c r="H28" s="1">
        <v>35089.230000000003</v>
      </c>
      <c r="I28" s="1">
        <v>27545.99</v>
      </c>
      <c r="J28" s="12">
        <f t="shared" si="1"/>
        <v>0.98127824402840547</v>
      </c>
    </row>
    <row r="29" spans="1:10">
      <c r="A29" s="11" t="s">
        <v>263</v>
      </c>
      <c r="B29" s="65">
        <v>3500</v>
      </c>
      <c r="D29" s="35">
        <v>1134.99</v>
      </c>
      <c r="E29" s="1">
        <f>783.57*1.5</f>
        <v>1175.355</v>
      </c>
      <c r="F29" s="1">
        <f t="shared" si="0"/>
        <v>2310.3450000000003</v>
      </c>
      <c r="G29" s="1">
        <v>3500</v>
      </c>
      <c r="H29" s="1">
        <v>2764.38</v>
      </c>
      <c r="I29" s="1">
        <v>2240.5300000000002</v>
      </c>
      <c r="J29" s="12">
        <f t="shared" si="1"/>
        <v>1</v>
      </c>
    </row>
    <row r="30" spans="1:10">
      <c r="A30" s="11" t="s">
        <v>264</v>
      </c>
      <c r="B30" s="114">
        <v>800</v>
      </c>
      <c r="D30" s="35">
        <v>489.04</v>
      </c>
      <c r="E30" s="1">
        <v>250</v>
      </c>
      <c r="F30" s="1">
        <f t="shared" si="0"/>
        <v>739.04</v>
      </c>
      <c r="J30" s="12"/>
    </row>
    <row r="31" spans="1:10">
      <c r="A31" s="11" t="s">
        <v>265</v>
      </c>
      <c r="B31" s="115">
        <v>3500</v>
      </c>
      <c r="D31" s="35">
        <v>2404.58</v>
      </c>
      <c r="E31" s="1">
        <v>2470.84</v>
      </c>
      <c r="F31" s="1">
        <f t="shared" si="0"/>
        <v>4875.42</v>
      </c>
      <c r="G31" s="1">
        <v>3600</v>
      </c>
      <c r="H31" s="1">
        <v>5698.45</v>
      </c>
      <c r="I31" s="1">
        <v>5707.93</v>
      </c>
      <c r="J31" s="12">
        <f t="shared" si="1"/>
        <v>0.97222222222222221</v>
      </c>
    </row>
    <row r="32" spans="1:10">
      <c r="A32" s="11" t="s">
        <v>266</v>
      </c>
      <c r="B32" s="60"/>
      <c r="I32" s="1">
        <v>80.959999999999994</v>
      </c>
      <c r="J32" s="12"/>
    </row>
    <row r="33" spans="1:11">
      <c r="B33" s="66" t="s">
        <v>21</v>
      </c>
      <c r="D33" s="13" t="s">
        <v>21</v>
      </c>
      <c r="E33" s="13"/>
      <c r="F33" s="13" t="s">
        <v>21</v>
      </c>
      <c r="G33" s="13" t="s">
        <v>21</v>
      </c>
      <c r="H33" s="13" t="s">
        <v>21</v>
      </c>
      <c r="I33" s="13" t="s">
        <v>21</v>
      </c>
      <c r="J33" s="13" t="s">
        <v>21</v>
      </c>
    </row>
    <row r="34" spans="1:11">
      <c r="A34" s="11" t="s">
        <v>22</v>
      </c>
      <c r="B34" s="68">
        <f>SUM(B11:B32)</f>
        <v>39932</v>
      </c>
      <c r="C34" s="11"/>
      <c r="D34" s="1">
        <f>SUM(D11:D32)</f>
        <v>4517.8800000000083</v>
      </c>
      <c r="E34" s="1">
        <f>SUM(E11:E32)</f>
        <v>33603.357000000004</v>
      </c>
      <c r="F34" s="1">
        <f>SUM(F11:F32)</f>
        <v>38121.237000000001</v>
      </c>
      <c r="G34" s="1">
        <v>38957</v>
      </c>
      <c r="H34" s="1">
        <v>39284.949999999997</v>
      </c>
      <c r="I34" s="1">
        <v>52078.28</v>
      </c>
      <c r="J34" s="12">
        <f t="shared" si="1"/>
        <v>1.0250275945272993</v>
      </c>
      <c r="K34" s="11"/>
    </row>
    <row r="35" spans="1:11">
      <c r="B35" s="66" t="s">
        <v>21</v>
      </c>
      <c r="D35" s="13" t="s">
        <v>21</v>
      </c>
      <c r="E35" s="13"/>
      <c r="F35" s="13" t="s">
        <v>21</v>
      </c>
      <c r="G35" s="13" t="s">
        <v>21</v>
      </c>
      <c r="H35" s="13" t="s">
        <v>21</v>
      </c>
      <c r="I35" s="13" t="s">
        <v>21</v>
      </c>
      <c r="J35" s="13" t="s">
        <v>21</v>
      </c>
    </row>
    <row r="36" spans="1:11">
      <c r="B36" s="64"/>
    </row>
    <row r="37" spans="1:11">
      <c r="A37" s="62" t="s">
        <v>921</v>
      </c>
      <c r="B37" s="60"/>
      <c r="K37" t="s">
        <v>930</v>
      </c>
    </row>
    <row r="38" spans="1:11">
      <c r="A38" s="62" t="s">
        <v>922</v>
      </c>
      <c r="B38" s="60"/>
    </row>
    <row r="39" spans="1:11">
      <c r="B39" s="60"/>
    </row>
    <row r="40" spans="1:11">
      <c r="B40" s="60"/>
    </row>
    <row r="41" spans="1:11">
      <c r="B41" s="60"/>
    </row>
    <row r="42" spans="1:11">
      <c r="B42" s="60"/>
    </row>
    <row r="43" spans="1:11">
      <c r="B43" s="60"/>
    </row>
    <row r="44" spans="1:11">
      <c r="B44" s="60"/>
    </row>
    <row r="45" spans="1:11">
      <c r="B45" s="60"/>
    </row>
    <row r="46" spans="1:11">
      <c r="B46" s="60"/>
    </row>
    <row r="47" spans="1:11">
      <c r="B47" s="60"/>
    </row>
    <row r="48" spans="1:11">
      <c r="B48" s="60"/>
    </row>
    <row r="49" spans="2:2">
      <c r="B49" s="60"/>
    </row>
    <row r="50" spans="2:2">
      <c r="B50" s="60"/>
    </row>
    <row r="51" spans="2:2">
      <c r="B51" s="60"/>
    </row>
    <row r="52" spans="2:2">
      <c r="B52" s="60"/>
    </row>
    <row r="53" spans="2:2">
      <c r="B53" s="60"/>
    </row>
    <row r="54" spans="2:2">
      <c r="B54" s="60"/>
    </row>
    <row r="55" spans="2:2">
      <c r="B55" s="60"/>
    </row>
    <row r="56" spans="2:2">
      <c r="B56" s="60"/>
    </row>
    <row r="57" spans="2:2">
      <c r="B57" s="60"/>
    </row>
    <row r="58" spans="2:2">
      <c r="B58" s="60"/>
    </row>
  </sheetData>
  <mergeCells count="3">
    <mergeCell ref="A1:J1"/>
    <mergeCell ref="A2:J2"/>
    <mergeCell ref="A3:J3"/>
  </mergeCells>
  <phoneticPr fontId="0" type="noConversion"/>
  <pageMargins left="0.75" right="0.75" top="0.75" bottom="0.7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40"/>
  <sheetViews>
    <sheetView workbookViewId="0">
      <pane ySplit="8" topLeftCell="A9" activePane="bottomLeft" state="frozenSplit"/>
      <selection pane="bottomLeft" activeCell="B6" sqref="B6"/>
    </sheetView>
  </sheetViews>
  <sheetFormatPr defaultColWidth="9.1640625" defaultRowHeight="12.75" outlineLevelCol="1"/>
  <cols>
    <col min="1" max="1" width="47.5" customWidth="1"/>
    <col min="2" max="2" width="14.5" customWidth="1"/>
    <col min="3" max="3" width="2.832031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952</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c r="B10" s="60"/>
    </row>
    <row r="11" spans="1:11">
      <c r="A11" s="11" t="s">
        <v>267</v>
      </c>
      <c r="B11" s="65">
        <v>-4500</v>
      </c>
      <c r="D11" s="35">
        <v>-9682.1</v>
      </c>
      <c r="E11" s="1">
        <v>-111</v>
      </c>
      <c r="F11" s="1">
        <f>D11+E11</f>
        <v>-9793.1</v>
      </c>
      <c r="G11" s="1">
        <v>-6000</v>
      </c>
      <c r="H11" s="1">
        <v>-3675.65</v>
      </c>
      <c r="I11" s="1">
        <v>-4637.51</v>
      </c>
      <c r="J11" s="12">
        <f>B11/G11</f>
        <v>0.75</v>
      </c>
    </row>
    <row r="12" spans="1:11">
      <c r="A12" s="11" t="s">
        <v>268</v>
      </c>
      <c r="B12" s="65">
        <v>-4500</v>
      </c>
      <c r="D12" s="35">
        <v>-3060</v>
      </c>
      <c r="E12" s="1">
        <v>3310.5</v>
      </c>
      <c r="F12" s="1">
        <f t="shared" ref="F12:F24" si="0">D12+E12</f>
        <v>250.5</v>
      </c>
      <c r="H12" s="1">
        <v>3310.5</v>
      </c>
      <c r="J12" s="12"/>
    </row>
    <row r="13" spans="1:11">
      <c r="A13" s="11" t="s">
        <v>269</v>
      </c>
      <c r="B13" s="65">
        <v>0</v>
      </c>
      <c r="F13" s="1">
        <f t="shared" si="0"/>
        <v>0</v>
      </c>
      <c r="G13" s="1">
        <v>50</v>
      </c>
      <c r="H13" s="1">
        <v>98.65</v>
      </c>
      <c r="J13" s="12">
        <f t="shared" ref="J13:J26" si="1">B13/G13</f>
        <v>0</v>
      </c>
    </row>
    <row r="14" spans="1:11">
      <c r="A14" s="11" t="s">
        <v>270</v>
      </c>
      <c r="B14" s="114">
        <v>350</v>
      </c>
      <c r="D14" s="35">
        <v>226.4</v>
      </c>
      <c r="E14" s="1">
        <v>113.2</v>
      </c>
      <c r="F14" s="1">
        <f t="shared" si="0"/>
        <v>339.6</v>
      </c>
      <c r="G14" s="1">
        <v>350</v>
      </c>
      <c r="H14" s="1">
        <v>339.88</v>
      </c>
      <c r="I14" s="1">
        <v>348.28</v>
      </c>
      <c r="J14" s="12">
        <f t="shared" si="1"/>
        <v>1</v>
      </c>
    </row>
    <row r="15" spans="1:11">
      <c r="A15" s="11" t="s">
        <v>271</v>
      </c>
      <c r="B15" s="116">
        <v>150</v>
      </c>
      <c r="D15" s="35">
        <v>94.79</v>
      </c>
      <c r="F15" s="1">
        <f t="shared" si="0"/>
        <v>94.79</v>
      </c>
      <c r="J15" s="12"/>
    </row>
    <row r="16" spans="1:11">
      <c r="A16" s="11" t="s">
        <v>272</v>
      </c>
      <c r="B16" s="116">
        <v>500</v>
      </c>
      <c r="D16" s="35">
        <v>1798.76</v>
      </c>
      <c r="E16" s="1">
        <v>742.57</v>
      </c>
      <c r="F16" s="1">
        <f t="shared" si="0"/>
        <v>2541.33</v>
      </c>
      <c r="H16" s="1">
        <v>742.58</v>
      </c>
      <c r="J16" s="12"/>
    </row>
    <row r="17" spans="1:11">
      <c r="A17" s="11" t="s">
        <v>273</v>
      </c>
      <c r="B17" s="116">
        <v>1500</v>
      </c>
      <c r="D17" s="35">
        <v>43.2</v>
      </c>
      <c r="E17" s="1">
        <v>33.659999999999997</v>
      </c>
      <c r="F17" s="1">
        <f t="shared" si="0"/>
        <v>76.86</v>
      </c>
      <c r="H17" s="1">
        <v>140.62</v>
      </c>
      <c r="J17" s="12"/>
    </row>
    <row r="18" spans="1:11">
      <c r="A18" s="11" t="s">
        <v>274</v>
      </c>
      <c r="B18" s="116">
        <v>1100</v>
      </c>
      <c r="D18" s="35">
        <v>201.5</v>
      </c>
      <c r="F18" s="1">
        <f t="shared" si="0"/>
        <v>201.5</v>
      </c>
      <c r="G18" s="1">
        <v>1000</v>
      </c>
      <c r="H18" s="1">
        <v>447.59</v>
      </c>
      <c r="I18" s="1">
        <v>449.11</v>
      </c>
      <c r="J18" s="12">
        <f t="shared" si="1"/>
        <v>1.1000000000000001</v>
      </c>
    </row>
    <row r="19" spans="1:11">
      <c r="A19" s="11" t="s">
        <v>275</v>
      </c>
      <c r="B19" s="116">
        <v>400</v>
      </c>
      <c r="D19" s="35">
        <v>746.03</v>
      </c>
      <c r="E19" s="1">
        <v>283.3</v>
      </c>
      <c r="F19" s="1">
        <f t="shared" si="0"/>
        <v>1029.33</v>
      </c>
      <c r="G19" s="1">
        <v>350</v>
      </c>
      <c r="H19" s="1">
        <v>283.3</v>
      </c>
      <c r="I19" s="1">
        <v>37.19</v>
      </c>
      <c r="J19" s="12">
        <f t="shared" si="1"/>
        <v>1.1428571428571428</v>
      </c>
    </row>
    <row r="20" spans="1:11">
      <c r="A20" s="11" t="s">
        <v>276</v>
      </c>
      <c r="B20" s="116">
        <v>10000</v>
      </c>
      <c r="D20" s="35">
        <v>7047.53</v>
      </c>
      <c r="E20" s="1">
        <v>4560.88</v>
      </c>
      <c r="F20" s="1">
        <f t="shared" si="0"/>
        <v>11608.41</v>
      </c>
      <c r="G20" s="1">
        <v>10000</v>
      </c>
      <c r="H20" s="1">
        <v>5320.88</v>
      </c>
      <c r="I20" s="1">
        <v>11556.25</v>
      </c>
      <c r="J20" s="12">
        <f t="shared" si="1"/>
        <v>1</v>
      </c>
    </row>
    <row r="21" spans="1:11">
      <c r="A21" s="11" t="s">
        <v>277</v>
      </c>
      <c r="B21" s="77">
        <v>13000</v>
      </c>
      <c r="D21" s="35">
        <v>10501.3</v>
      </c>
      <c r="E21" s="1">
        <v>2685.76</v>
      </c>
      <c r="F21" s="1">
        <f t="shared" si="0"/>
        <v>13187.06</v>
      </c>
      <c r="G21" s="1">
        <v>15700</v>
      </c>
      <c r="H21" s="1">
        <v>12702.91</v>
      </c>
      <c r="I21" s="1">
        <v>12941.72</v>
      </c>
      <c r="J21" s="12">
        <f t="shared" si="1"/>
        <v>0.82802547770700641</v>
      </c>
    </row>
    <row r="22" spans="1:11">
      <c r="A22" s="11" t="s">
        <v>278</v>
      </c>
      <c r="B22" s="77">
        <v>1200</v>
      </c>
      <c r="D22" s="35">
        <v>1044.23</v>
      </c>
      <c r="E22" s="1">
        <v>194.47</v>
      </c>
      <c r="F22" s="1">
        <f t="shared" si="0"/>
        <v>1238.7</v>
      </c>
      <c r="G22" s="1">
        <v>1250</v>
      </c>
      <c r="H22" s="1">
        <v>1136.03</v>
      </c>
      <c r="I22" s="1">
        <v>1173.83</v>
      </c>
      <c r="J22" s="12">
        <f t="shared" si="1"/>
        <v>0.96</v>
      </c>
    </row>
    <row r="23" spans="1:11">
      <c r="A23" s="11" t="s">
        <v>279</v>
      </c>
      <c r="B23" s="115">
        <v>270</v>
      </c>
      <c r="D23" s="35">
        <v>181.24</v>
      </c>
      <c r="E23" s="1">
        <v>90.61</v>
      </c>
      <c r="F23" s="1">
        <f t="shared" si="0"/>
        <v>271.85000000000002</v>
      </c>
      <c r="G23" s="1">
        <v>270</v>
      </c>
      <c r="H23" s="1">
        <v>271.85000000000002</v>
      </c>
      <c r="I23" s="1">
        <v>271.85000000000002</v>
      </c>
      <c r="J23" s="12">
        <f t="shared" si="1"/>
        <v>1</v>
      </c>
    </row>
    <row r="24" spans="1:11">
      <c r="A24" s="11" t="s">
        <v>280</v>
      </c>
      <c r="B24" s="77">
        <v>300</v>
      </c>
      <c r="D24" s="35">
        <v>4.95</v>
      </c>
      <c r="E24" s="1">
        <v>313.63</v>
      </c>
      <c r="F24" s="1">
        <f t="shared" si="0"/>
        <v>318.58</v>
      </c>
      <c r="H24" s="1">
        <v>570.33000000000004</v>
      </c>
      <c r="I24" s="1">
        <v>577.54</v>
      </c>
      <c r="J24" s="12"/>
    </row>
    <row r="25" spans="1:11">
      <c r="B25" s="66" t="s">
        <v>21</v>
      </c>
      <c r="D25" s="13" t="s">
        <v>21</v>
      </c>
      <c r="E25" s="13"/>
      <c r="F25" s="13" t="s">
        <v>21</v>
      </c>
      <c r="G25" s="13" t="s">
        <v>21</v>
      </c>
      <c r="H25" s="13" t="s">
        <v>21</v>
      </c>
      <c r="I25" s="13" t="s">
        <v>21</v>
      </c>
      <c r="J25" s="13" t="s">
        <v>21</v>
      </c>
    </row>
    <row r="26" spans="1:11">
      <c r="A26" s="11" t="s">
        <v>22</v>
      </c>
      <c r="B26" s="68">
        <f>SUM(B11:B25)</f>
        <v>19770</v>
      </c>
      <c r="C26" s="11"/>
      <c r="D26" s="1">
        <f>SUM(D11:D24)</f>
        <v>9147.8300000000017</v>
      </c>
      <c r="E26" s="1">
        <f>SUM(E11:E24)</f>
        <v>12217.58</v>
      </c>
      <c r="F26" s="1">
        <f>SUM(F11:F24)</f>
        <v>21365.41</v>
      </c>
      <c r="G26" s="1">
        <v>22970</v>
      </c>
      <c r="H26" s="1">
        <v>21689.47</v>
      </c>
      <c r="I26" s="1">
        <v>22718.26</v>
      </c>
      <c r="J26" s="12">
        <f t="shared" si="1"/>
        <v>0.86068785372224643</v>
      </c>
      <c r="K26" s="11"/>
    </row>
    <row r="27" spans="1:11">
      <c r="B27" s="66" t="s">
        <v>21</v>
      </c>
      <c r="D27" s="13" t="s">
        <v>21</v>
      </c>
      <c r="E27" s="13"/>
      <c r="F27" s="13" t="s">
        <v>21</v>
      </c>
      <c r="G27" s="13" t="s">
        <v>21</v>
      </c>
      <c r="H27" s="13" t="s">
        <v>21</v>
      </c>
      <c r="I27" s="13" t="s">
        <v>21</v>
      </c>
      <c r="J27" s="13" t="s">
        <v>21</v>
      </c>
    </row>
    <row r="28" spans="1:11">
      <c r="B28" s="64"/>
    </row>
    <row r="29" spans="1:11">
      <c r="B29" s="60"/>
      <c r="K29" t="s">
        <v>930</v>
      </c>
    </row>
    <row r="30" spans="1:11">
      <c r="A30" s="62" t="s">
        <v>813</v>
      </c>
      <c r="B30" s="60"/>
    </row>
    <row r="31" spans="1:11">
      <c r="B31" s="60"/>
    </row>
    <row r="32" spans="1:11">
      <c r="B32" s="60"/>
    </row>
    <row r="33" spans="2:2">
      <c r="B33" s="60"/>
    </row>
    <row r="34" spans="2:2">
      <c r="B34" s="60"/>
    </row>
    <row r="35" spans="2:2">
      <c r="B35" s="60"/>
    </row>
    <row r="36" spans="2:2">
      <c r="B36" s="60"/>
    </row>
    <row r="37" spans="2:2">
      <c r="B37" s="60"/>
    </row>
    <row r="38" spans="2:2">
      <c r="B38" s="60"/>
    </row>
    <row r="39" spans="2:2">
      <c r="B39" s="60"/>
    </row>
    <row r="40" spans="2:2">
      <c r="B40" s="60"/>
    </row>
  </sheetData>
  <mergeCells count="3">
    <mergeCell ref="A1:J1"/>
    <mergeCell ref="A2:J2"/>
    <mergeCell ref="A3:J3"/>
  </mergeCells>
  <phoneticPr fontId="0" type="noConversion"/>
  <pageMargins left="0.75" right="0.75" top="0.75" bottom="0.7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K34"/>
  <sheetViews>
    <sheetView zoomScaleNormal="100" workbookViewId="0">
      <pane ySplit="8" topLeftCell="A9" activePane="bottomLeft" state="frozenSplit"/>
      <selection pane="bottomLeft" activeCell="A37" sqref="A37"/>
    </sheetView>
  </sheetViews>
  <sheetFormatPr defaultColWidth="9.1640625" defaultRowHeight="12.75" outlineLevelCol="1"/>
  <cols>
    <col min="1" max="1" width="45.33203125" customWidth="1"/>
    <col min="2" max="2" width="14.5" customWidth="1"/>
    <col min="3" max="3" width="2.5" customWidth="1"/>
    <col min="4" max="5" width="14.5" style="1" hidden="1" customWidth="1" outlineLevel="1"/>
    <col min="6" max="6" width="14.5" style="1" customWidth="1" collapsed="1"/>
    <col min="7" max="9" width="14.5" style="1" customWidth="1"/>
    <col min="10" max="10" width="11.5" style="2" customWidth="1"/>
    <col min="11" max="11" width="65.1640625" customWidth="1"/>
  </cols>
  <sheetData>
    <row r="1" spans="1:11" ht="15">
      <c r="A1" s="125" t="s">
        <v>0</v>
      </c>
      <c r="B1" s="125"/>
      <c r="C1" s="125"/>
      <c r="D1" s="125"/>
      <c r="E1" s="125"/>
      <c r="F1" s="125"/>
      <c r="G1" s="125"/>
      <c r="H1" s="125"/>
      <c r="I1" s="125"/>
      <c r="J1" s="125"/>
      <c r="K1" s="4"/>
    </row>
    <row r="2" spans="1:11">
      <c r="A2" s="126" t="s">
        <v>953</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c r="B10" s="65"/>
    </row>
    <row r="11" spans="1:11">
      <c r="A11" s="11" t="s">
        <v>281</v>
      </c>
      <c r="B11" s="65">
        <v>150</v>
      </c>
      <c r="D11" s="35">
        <v>39.950000000000003</v>
      </c>
      <c r="E11" s="1">
        <v>0</v>
      </c>
      <c r="F11" s="1">
        <f>D11+E11</f>
        <v>39.950000000000003</v>
      </c>
      <c r="G11" s="1">
        <v>250</v>
      </c>
      <c r="H11" s="1">
        <v>147.02000000000001</v>
      </c>
      <c r="I11" s="1">
        <v>184.7</v>
      </c>
      <c r="J11" s="12">
        <f>B11/G11</f>
        <v>0.6</v>
      </c>
      <c r="K11" t="s">
        <v>784</v>
      </c>
    </row>
    <row r="12" spans="1:11">
      <c r="A12" s="11" t="s">
        <v>282</v>
      </c>
      <c r="B12" s="65">
        <v>850</v>
      </c>
      <c r="D12" s="35">
        <v>564.79999999999995</v>
      </c>
      <c r="E12" s="1">
        <v>282.39999999999998</v>
      </c>
      <c r="F12" s="1">
        <f t="shared" ref="F12:F23" si="0">D12+E12</f>
        <v>847.19999999999993</v>
      </c>
      <c r="G12" s="1">
        <v>850</v>
      </c>
      <c r="H12" s="1">
        <v>847.2</v>
      </c>
      <c r="I12" s="1">
        <v>850.8</v>
      </c>
      <c r="J12" s="12">
        <f t="shared" ref="J12:J25" si="1">B12/G12</f>
        <v>1</v>
      </c>
    </row>
    <row r="13" spans="1:11">
      <c r="A13" s="11" t="s">
        <v>283</v>
      </c>
      <c r="B13" s="65">
        <v>0</v>
      </c>
      <c r="E13" s="1">
        <v>0</v>
      </c>
      <c r="F13" s="1">
        <f t="shared" si="0"/>
        <v>0</v>
      </c>
      <c r="I13" s="1">
        <v>283.52999999999997</v>
      </c>
      <c r="J13" s="12"/>
    </row>
    <row r="14" spans="1:11">
      <c r="A14" s="11" t="s">
        <v>284</v>
      </c>
      <c r="B14" s="65">
        <v>0</v>
      </c>
      <c r="D14" s="1">
        <v>70.94</v>
      </c>
      <c r="E14" s="1">
        <v>34.74</v>
      </c>
      <c r="F14" s="1">
        <f t="shared" si="0"/>
        <v>105.68</v>
      </c>
      <c r="H14" s="1">
        <v>34.74</v>
      </c>
      <c r="J14" s="12"/>
    </row>
    <row r="15" spans="1:11" ht="51">
      <c r="A15" s="11" t="s">
        <v>285</v>
      </c>
      <c r="B15" s="117">
        <v>750</v>
      </c>
      <c r="E15" s="1">
        <v>444.83</v>
      </c>
      <c r="F15" s="1">
        <f t="shared" si="0"/>
        <v>444.83</v>
      </c>
      <c r="G15" s="1">
        <v>750</v>
      </c>
      <c r="H15" s="1">
        <v>444.83</v>
      </c>
      <c r="I15" s="1">
        <v>424.34</v>
      </c>
      <c r="J15" s="12">
        <f t="shared" si="1"/>
        <v>1</v>
      </c>
      <c r="K15" s="69" t="s">
        <v>785</v>
      </c>
    </row>
    <row r="16" spans="1:11">
      <c r="A16" s="11" t="s">
        <v>286</v>
      </c>
      <c r="B16" s="118">
        <v>2600</v>
      </c>
      <c r="D16" s="35">
        <v>105.42</v>
      </c>
      <c r="E16" s="1">
        <v>1203.78</v>
      </c>
      <c r="F16" s="1">
        <f t="shared" si="0"/>
        <v>1309.2</v>
      </c>
      <c r="G16" s="1">
        <v>2800</v>
      </c>
      <c r="H16" s="1">
        <v>2682.18</v>
      </c>
      <c r="I16" s="1">
        <v>2031.74</v>
      </c>
      <c r="J16" s="12">
        <f t="shared" si="1"/>
        <v>0.9285714285714286</v>
      </c>
    </row>
    <row r="17" spans="1:11">
      <c r="A17" s="11" t="s">
        <v>287</v>
      </c>
      <c r="B17" s="118">
        <v>2500</v>
      </c>
      <c r="D17" s="35">
        <v>332.03</v>
      </c>
      <c r="E17" s="1">
        <v>1067.8699999999999</v>
      </c>
      <c r="F17" s="1">
        <f t="shared" si="0"/>
        <v>1399.8999999999999</v>
      </c>
      <c r="G17" s="1">
        <v>3000</v>
      </c>
      <c r="H17" s="1">
        <v>2515.9299999999998</v>
      </c>
      <c r="I17" s="1">
        <v>2868.25</v>
      </c>
      <c r="J17" s="12">
        <f t="shared" si="1"/>
        <v>0.83333333333333337</v>
      </c>
    </row>
    <row r="18" spans="1:11">
      <c r="A18" s="11" t="s">
        <v>288</v>
      </c>
      <c r="B18" s="118">
        <v>5000</v>
      </c>
      <c r="D18" s="35">
        <v>3226.28</v>
      </c>
      <c r="E18" s="1">
        <v>1845.06</v>
      </c>
      <c r="F18" s="1">
        <f t="shared" si="0"/>
        <v>5071.34</v>
      </c>
      <c r="G18" s="1">
        <v>5000</v>
      </c>
      <c r="H18" s="1">
        <v>2974.37</v>
      </c>
      <c r="I18" s="1">
        <v>5289.87</v>
      </c>
      <c r="J18" s="12">
        <f t="shared" si="1"/>
        <v>1</v>
      </c>
    </row>
    <row r="19" spans="1:11">
      <c r="A19" s="11" t="s">
        <v>289</v>
      </c>
      <c r="B19" s="117">
        <v>1310</v>
      </c>
      <c r="D19" s="35">
        <v>692.36</v>
      </c>
      <c r="E19" s="1">
        <v>560.73</v>
      </c>
      <c r="F19" s="1">
        <f t="shared" si="0"/>
        <v>1253.0900000000001</v>
      </c>
      <c r="G19" s="1">
        <v>1310</v>
      </c>
      <c r="H19" s="1">
        <v>1252.1199999999999</v>
      </c>
      <c r="I19" s="1">
        <v>763</v>
      </c>
      <c r="J19" s="12">
        <f t="shared" si="1"/>
        <v>1</v>
      </c>
    </row>
    <row r="20" spans="1:11">
      <c r="A20" s="11" t="s">
        <v>290</v>
      </c>
      <c r="B20" s="118">
        <v>0</v>
      </c>
      <c r="E20" s="1">
        <v>0</v>
      </c>
      <c r="F20" s="1">
        <f t="shared" si="0"/>
        <v>0</v>
      </c>
      <c r="I20" s="1">
        <v>133.18</v>
      </c>
      <c r="J20" s="12"/>
    </row>
    <row r="21" spans="1:11">
      <c r="A21" s="11" t="s">
        <v>291</v>
      </c>
      <c r="B21" s="117">
        <v>5230</v>
      </c>
      <c r="D21" s="35">
        <v>2300.34</v>
      </c>
      <c r="E21" s="1">
        <f>2004.94*1.4</f>
        <v>2806.9159999999997</v>
      </c>
      <c r="F21" s="1">
        <f t="shared" si="0"/>
        <v>5107.2559999999994</v>
      </c>
      <c r="G21" s="1">
        <v>5100</v>
      </c>
      <c r="H21" s="1">
        <v>5203.05</v>
      </c>
      <c r="I21" s="1">
        <v>4962.33</v>
      </c>
      <c r="J21" s="12">
        <f t="shared" si="1"/>
        <v>1.0254901960784313</v>
      </c>
    </row>
    <row r="22" spans="1:11">
      <c r="A22" s="11" t="s">
        <v>292</v>
      </c>
      <c r="B22" s="65">
        <v>450</v>
      </c>
      <c r="D22" s="35">
        <v>183.99</v>
      </c>
      <c r="E22" s="1">
        <f>152.84*1.4</f>
        <v>213.976</v>
      </c>
      <c r="F22" s="1">
        <f t="shared" si="0"/>
        <v>397.96600000000001</v>
      </c>
      <c r="G22" s="1">
        <v>450</v>
      </c>
      <c r="H22" s="1">
        <v>401.11</v>
      </c>
      <c r="I22" s="1">
        <v>395.12</v>
      </c>
      <c r="J22" s="12">
        <f t="shared" si="1"/>
        <v>1</v>
      </c>
    </row>
    <row r="23" spans="1:11">
      <c r="A23" s="11" t="s">
        <v>293</v>
      </c>
      <c r="B23" s="115">
        <v>400</v>
      </c>
      <c r="D23" s="35">
        <v>271.7</v>
      </c>
      <c r="E23" s="1">
        <v>161.34</v>
      </c>
      <c r="F23" s="1">
        <f t="shared" si="0"/>
        <v>433.03999999999996</v>
      </c>
      <c r="G23" s="1">
        <v>408</v>
      </c>
      <c r="H23" s="1">
        <v>484.03</v>
      </c>
      <c r="I23" s="1">
        <v>502.16</v>
      </c>
      <c r="J23" s="12">
        <f t="shared" si="1"/>
        <v>0.98039215686274506</v>
      </c>
    </row>
    <row r="24" spans="1:11">
      <c r="B24" s="66" t="s">
        <v>21</v>
      </c>
      <c r="D24" s="13" t="s">
        <v>21</v>
      </c>
      <c r="E24" s="13"/>
      <c r="F24" s="13" t="s">
        <v>21</v>
      </c>
      <c r="G24" s="13" t="s">
        <v>21</v>
      </c>
      <c r="H24" s="13" t="s">
        <v>21</v>
      </c>
      <c r="I24" s="13" t="s">
        <v>21</v>
      </c>
      <c r="J24" s="13" t="s">
        <v>21</v>
      </c>
    </row>
    <row r="25" spans="1:11">
      <c r="A25" s="11" t="s">
        <v>22</v>
      </c>
      <c r="B25" s="68">
        <f>SUM(B11:B23)</f>
        <v>19240</v>
      </c>
      <c r="C25" s="11"/>
      <c r="D25" s="1">
        <f>SUM(D11:D23)</f>
        <v>7787.8099999999995</v>
      </c>
      <c r="E25" s="1">
        <f>SUM(E11:E23)</f>
        <v>8621.6419999999998</v>
      </c>
      <c r="F25" s="1">
        <f>SUM(F11:F23)</f>
        <v>16409.451999999997</v>
      </c>
      <c r="G25" s="1">
        <v>19918</v>
      </c>
      <c r="H25" s="1">
        <v>16986.580000000002</v>
      </c>
      <c r="I25" s="1">
        <v>18689.02</v>
      </c>
      <c r="J25" s="12">
        <f t="shared" si="1"/>
        <v>0.96596043779495933</v>
      </c>
      <c r="K25" s="11"/>
    </row>
    <row r="26" spans="1:11">
      <c r="B26" s="66" t="s">
        <v>21</v>
      </c>
      <c r="D26" s="13" t="s">
        <v>21</v>
      </c>
      <c r="E26" s="13"/>
      <c r="F26" s="13" t="s">
        <v>21</v>
      </c>
      <c r="G26" s="13" t="s">
        <v>21</v>
      </c>
      <c r="H26" s="13" t="s">
        <v>21</v>
      </c>
      <c r="I26" s="13" t="s">
        <v>21</v>
      </c>
      <c r="J26" s="13" t="s">
        <v>21</v>
      </c>
    </row>
    <row r="27" spans="1:11">
      <c r="B27" s="64"/>
      <c r="K27" t="s">
        <v>930</v>
      </c>
    </row>
    <row r="28" spans="1:11">
      <c r="B28" s="60"/>
    </row>
    <row r="29" spans="1:11">
      <c r="B29" s="60"/>
    </row>
    <row r="30" spans="1:11" ht="15">
      <c r="A30" s="73" t="s">
        <v>795</v>
      </c>
      <c r="B30" s="60"/>
    </row>
    <row r="31" spans="1:11" ht="15">
      <c r="A31" s="75" t="s">
        <v>786</v>
      </c>
      <c r="B31" s="60"/>
      <c r="I31" s="70"/>
      <c r="J31" s="74" t="s">
        <v>788</v>
      </c>
      <c r="K31" s="75" t="s">
        <v>787</v>
      </c>
    </row>
    <row r="32" spans="1:11" ht="15">
      <c r="A32" s="75" t="s">
        <v>789</v>
      </c>
      <c r="B32" s="60"/>
      <c r="I32" s="70"/>
      <c r="J32" s="74" t="s">
        <v>790</v>
      </c>
      <c r="K32" s="75" t="s">
        <v>791</v>
      </c>
    </row>
    <row r="33" spans="1:11" ht="15">
      <c r="A33" s="75" t="s">
        <v>792</v>
      </c>
      <c r="B33" s="60"/>
      <c r="I33" s="70"/>
      <c r="J33" s="74" t="s">
        <v>793</v>
      </c>
      <c r="K33" s="75" t="s">
        <v>794</v>
      </c>
    </row>
    <row r="34" spans="1:11">
      <c r="B34" s="60"/>
    </row>
  </sheetData>
  <mergeCells count="3">
    <mergeCell ref="A1:J1"/>
    <mergeCell ref="A2:J2"/>
    <mergeCell ref="A3:J3"/>
  </mergeCells>
  <phoneticPr fontId="0" type="noConversion"/>
  <pageMargins left="0.75" right="0.75" top="0.75" bottom="0.7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K29"/>
  <sheetViews>
    <sheetView zoomScaleNormal="100" workbookViewId="0">
      <pane ySplit="8" topLeftCell="A9" activePane="bottomLeft" state="frozenSplit"/>
      <selection pane="bottomLeft" activeCell="A38" sqref="A38"/>
    </sheetView>
  </sheetViews>
  <sheetFormatPr defaultColWidth="9.1640625" defaultRowHeight="12.75" outlineLevelCol="1"/>
  <cols>
    <col min="1" max="1" width="46.5" customWidth="1"/>
    <col min="2" max="2" width="14.5" customWidth="1"/>
    <col min="3" max="3" width="3"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954</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294</v>
      </c>
      <c r="B11" s="65">
        <v>250</v>
      </c>
      <c r="D11" s="35">
        <v>17.73</v>
      </c>
      <c r="E11" s="34">
        <v>0</v>
      </c>
      <c r="F11" s="1">
        <f>D11+E11</f>
        <v>17.73</v>
      </c>
      <c r="G11" s="1">
        <v>250</v>
      </c>
      <c r="H11" s="1">
        <v>285.05</v>
      </c>
      <c r="I11" s="1">
        <v>142.80000000000001</v>
      </c>
      <c r="J11" s="12">
        <f>B11/G11</f>
        <v>1</v>
      </c>
    </row>
    <row r="12" spans="1:11">
      <c r="A12" s="11" t="s">
        <v>295</v>
      </c>
      <c r="B12" s="65">
        <v>500</v>
      </c>
      <c r="D12" s="35">
        <v>282.39999999999998</v>
      </c>
      <c r="E12" s="34">
        <v>141.19999999999999</v>
      </c>
      <c r="F12" s="1">
        <f t="shared" ref="F12:F23" si="0">D12+E12</f>
        <v>423.59999999999997</v>
      </c>
      <c r="G12" s="1">
        <v>500</v>
      </c>
      <c r="H12" s="1">
        <v>423.6</v>
      </c>
      <c r="I12" s="1">
        <v>423.71</v>
      </c>
      <c r="J12" s="12">
        <f t="shared" ref="J12:J25" si="1">B12/G12</f>
        <v>1</v>
      </c>
    </row>
    <row r="13" spans="1:11">
      <c r="A13" s="11" t="s">
        <v>296</v>
      </c>
      <c r="B13" s="65">
        <v>50</v>
      </c>
      <c r="D13" s="35">
        <v>0.46</v>
      </c>
      <c r="E13" s="34">
        <v>24.3</v>
      </c>
      <c r="F13" s="1">
        <f t="shared" si="0"/>
        <v>24.76</v>
      </c>
      <c r="G13" s="1">
        <v>50</v>
      </c>
      <c r="H13" s="1">
        <v>24.31</v>
      </c>
      <c r="I13" s="1">
        <v>7.92</v>
      </c>
      <c r="J13" s="12">
        <f t="shared" si="1"/>
        <v>1</v>
      </c>
    </row>
    <row r="14" spans="1:11">
      <c r="A14" s="11" t="s">
        <v>297</v>
      </c>
      <c r="B14" s="65">
        <v>200</v>
      </c>
      <c r="D14" s="35">
        <v>254.84</v>
      </c>
      <c r="E14" s="34">
        <v>660.57</v>
      </c>
      <c r="F14" s="1">
        <f t="shared" si="0"/>
        <v>915.41000000000008</v>
      </c>
      <c r="G14" s="1">
        <v>200</v>
      </c>
      <c r="H14" s="1">
        <v>660.57</v>
      </c>
      <c r="J14" s="12">
        <f t="shared" si="1"/>
        <v>1</v>
      </c>
    </row>
    <row r="15" spans="1:11">
      <c r="A15" s="11" t="s">
        <v>298</v>
      </c>
      <c r="B15" s="65">
        <v>450</v>
      </c>
      <c r="D15" s="35">
        <v>226</v>
      </c>
      <c r="E15" s="34">
        <v>178</v>
      </c>
      <c r="F15" s="1">
        <f t="shared" si="0"/>
        <v>404</v>
      </c>
      <c r="H15" s="1">
        <v>178</v>
      </c>
      <c r="J15" s="12"/>
    </row>
    <row r="16" spans="1:11">
      <c r="A16" s="11" t="s">
        <v>299</v>
      </c>
      <c r="B16" s="65">
        <v>2500</v>
      </c>
      <c r="D16" s="35">
        <v>936.71</v>
      </c>
      <c r="E16" s="34">
        <v>1428.66</v>
      </c>
      <c r="F16" s="1">
        <f t="shared" si="0"/>
        <v>2365.37</v>
      </c>
      <c r="G16" s="1">
        <v>3000</v>
      </c>
      <c r="H16" s="1">
        <v>2869.94</v>
      </c>
      <c r="I16" s="1">
        <v>3787</v>
      </c>
      <c r="J16" s="12">
        <f t="shared" si="1"/>
        <v>0.83333333333333337</v>
      </c>
      <c r="K16" t="s">
        <v>931</v>
      </c>
    </row>
    <row r="17" spans="1:11">
      <c r="A17" s="11" t="s">
        <v>300</v>
      </c>
      <c r="B17" s="65">
        <v>1800</v>
      </c>
      <c r="D17" s="35">
        <v>439.28</v>
      </c>
      <c r="E17" s="34">
        <v>890.42</v>
      </c>
      <c r="F17" s="1">
        <f t="shared" si="0"/>
        <v>1329.6999999999998</v>
      </c>
      <c r="G17" s="1">
        <v>2000</v>
      </c>
      <c r="H17" s="1">
        <v>2393.96</v>
      </c>
      <c r="I17" s="1">
        <v>1129.17</v>
      </c>
      <c r="J17" s="12">
        <f t="shared" si="1"/>
        <v>0.9</v>
      </c>
    </row>
    <row r="18" spans="1:11">
      <c r="A18" s="11" t="s">
        <v>301</v>
      </c>
      <c r="B18" s="65">
        <v>320</v>
      </c>
      <c r="D18" s="35">
        <v>281.77</v>
      </c>
      <c r="E18" s="34">
        <v>0</v>
      </c>
      <c r="F18" s="1">
        <f t="shared" si="0"/>
        <v>281.77</v>
      </c>
      <c r="G18" s="1">
        <v>300</v>
      </c>
      <c r="H18" s="1">
        <v>387.85</v>
      </c>
      <c r="I18" s="1">
        <v>705.84</v>
      </c>
      <c r="J18" s="12">
        <f t="shared" si="1"/>
        <v>1.0666666666666667</v>
      </c>
    </row>
    <row r="19" spans="1:11">
      <c r="A19" s="11" t="s">
        <v>302</v>
      </c>
      <c r="B19" s="65">
        <v>200</v>
      </c>
      <c r="E19" s="34">
        <v>0</v>
      </c>
      <c r="F19" s="1">
        <f t="shared" si="0"/>
        <v>0</v>
      </c>
      <c r="G19" s="1">
        <v>200</v>
      </c>
      <c r="I19" s="1">
        <v>251.12</v>
      </c>
      <c r="J19" s="12">
        <f t="shared" si="1"/>
        <v>1</v>
      </c>
    </row>
    <row r="20" spans="1:11">
      <c r="A20" s="11" t="s">
        <v>303</v>
      </c>
      <c r="B20" s="65">
        <v>2100</v>
      </c>
      <c r="D20" s="35">
        <v>1125.1500000000001</v>
      </c>
      <c r="E20" s="34">
        <v>949.87</v>
      </c>
      <c r="F20" s="1">
        <f t="shared" si="0"/>
        <v>2075.02</v>
      </c>
      <c r="G20" s="1">
        <v>1000</v>
      </c>
      <c r="H20" s="1">
        <v>1849.23</v>
      </c>
      <c r="I20" s="1">
        <v>1759.92</v>
      </c>
      <c r="J20" s="12">
        <f t="shared" si="1"/>
        <v>2.1</v>
      </c>
    </row>
    <row r="21" spans="1:11">
      <c r="A21" s="11" t="s">
        <v>304</v>
      </c>
      <c r="B21" s="77">
        <v>5700</v>
      </c>
      <c r="D21" s="35">
        <v>3653.9</v>
      </c>
      <c r="E21" s="34">
        <v>2587.27</v>
      </c>
      <c r="F21" s="1">
        <f t="shared" si="0"/>
        <v>6241.17</v>
      </c>
      <c r="G21" s="1">
        <v>5000</v>
      </c>
      <c r="H21" s="1">
        <v>5536.12</v>
      </c>
      <c r="I21" s="1">
        <v>4400.43</v>
      </c>
      <c r="J21" s="12">
        <f t="shared" si="1"/>
        <v>1.1399999999999999</v>
      </c>
    </row>
    <row r="22" spans="1:11">
      <c r="A22" s="11" t="s">
        <v>305</v>
      </c>
      <c r="B22" s="77">
        <v>450</v>
      </c>
      <c r="D22" s="35">
        <v>269.60000000000002</v>
      </c>
      <c r="E22" s="34">
        <v>186.6</v>
      </c>
      <c r="F22" s="1">
        <f t="shared" si="0"/>
        <v>456.20000000000005</v>
      </c>
      <c r="G22" s="1">
        <v>470</v>
      </c>
      <c r="H22" s="1">
        <v>425.31</v>
      </c>
      <c r="I22" s="1">
        <v>414.22</v>
      </c>
      <c r="J22" s="12">
        <f t="shared" si="1"/>
        <v>0.95744680851063835</v>
      </c>
    </row>
    <row r="23" spans="1:11">
      <c r="A23" s="11" t="s">
        <v>306</v>
      </c>
      <c r="B23" s="115">
        <v>1000</v>
      </c>
      <c r="D23" s="35">
        <v>674.78</v>
      </c>
      <c r="E23" s="34">
        <v>337.39</v>
      </c>
      <c r="F23" s="1">
        <f t="shared" si="0"/>
        <v>1012.17</v>
      </c>
      <c r="G23" s="1">
        <v>1000</v>
      </c>
      <c r="H23" s="1">
        <v>1012.17</v>
      </c>
      <c r="I23" s="1">
        <v>1012.17</v>
      </c>
      <c r="J23" s="12">
        <f t="shared" si="1"/>
        <v>1</v>
      </c>
    </row>
    <row r="24" spans="1:11">
      <c r="B24" s="119" t="s">
        <v>21</v>
      </c>
      <c r="D24" s="13" t="s">
        <v>21</v>
      </c>
      <c r="E24" s="13"/>
      <c r="F24" s="13" t="s">
        <v>21</v>
      </c>
      <c r="G24" s="13" t="s">
        <v>21</v>
      </c>
      <c r="H24" s="13" t="s">
        <v>21</v>
      </c>
      <c r="I24" s="13" t="s">
        <v>21</v>
      </c>
      <c r="J24" s="13" t="s">
        <v>21</v>
      </c>
    </row>
    <row r="25" spans="1:11">
      <c r="A25" s="11" t="s">
        <v>22</v>
      </c>
      <c r="B25" s="120">
        <f>SUM(B11:B23)</f>
        <v>15520</v>
      </c>
      <c r="C25" s="11"/>
      <c r="D25" s="1">
        <f>SUM(D11:D23)</f>
        <v>8162.62</v>
      </c>
      <c r="E25" s="1">
        <f>SUM(E11:E23)</f>
        <v>7384.2800000000016</v>
      </c>
      <c r="F25" s="1">
        <f>SUM(F11:F23)</f>
        <v>15546.900000000001</v>
      </c>
      <c r="G25" s="1">
        <v>13970</v>
      </c>
      <c r="H25" s="1">
        <v>16046.11</v>
      </c>
      <c r="I25" s="1">
        <v>14034.3</v>
      </c>
      <c r="J25" s="12">
        <f t="shared" si="1"/>
        <v>1.1109520400858983</v>
      </c>
      <c r="K25" s="11"/>
    </row>
    <row r="26" spans="1:11">
      <c r="B26" s="66" t="s">
        <v>21</v>
      </c>
      <c r="D26" s="13" t="s">
        <v>21</v>
      </c>
      <c r="E26" s="13"/>
      <c r="F26" s="13" t="s">
        <v>21</v>
      </c>
      <c r="G26" s="13" t="s">
        <v>21</v>
      </c>
      <c r="H26" s="13" t="s">
        <v>21</v>
      </c>
      <c r="I26" s="13" t="s">
        <v>21</v>
      </c>
      <c r="J26" s="13" t="s">
        <v>21</v>
      </c>
    </row>
    <row r="27" spans="1:11">
      <c r="B27" s="64"/>
    </row>
    <row r="28" spans="1:11">
      <c r="J28" s="2" t="s">
        <v>930</v>
      </c>
    </row>
    <row r="29" spans="1:11">
      <c r="A29" s="62" t="s">
        <v>812</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K33"/>
  <sheetViews>
    <sheetView workbookViewId="0">
      <pane ySplit="8" topLeftCell="A9" activePane="bottomLeft" state="frozenSplit"/>
      <selection pane="bottomLeft" activeCell="F36" sqref="F36"/>
    </sheetView>
  </sheetViews>
  <sheetFormatPr defaultColWidth="9.1640625" defaultRowHeight="12.75" outlineLevelCol="1"/>
  <cols>
    <col min="1" max="1" width="48.83203125" customWidth="1"/>
    <col min="2" max="2" width="14.5" customWidth="1"/>
    <col min="3" max="3" width="3.332031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955</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c r="B10" s="14"/>
    </row>
    <row r="11" spans="1:11">
      <c r="A11" s="11" t="s">
        <v>307</v>
      </c>
      <c r="B11" s="65">
        <v>0</v>
      </c>
      <c r="E11" s="1">
        <v>0</v>
      </c>
      <c r="F11" s="1">
        <f>D11+E11</f>
        <v>0</v>
      </c>
      <c r="G11" s="1">
        <v>-1000</v>
      </c>
      <c r="I11" s="1">
        <v>-630</v>
      </c>
      <c r="J11" s="12">
        <f>B11/G11</f>
        <v>0</v>
      </c>
    </row>
    <row r="12" spans="1:11">
      <c r="A12" s="11" t="s">
        <v>308</v>
      </c>
      <c r="B12" s="65">
        <v>0</v>
      </c>
      <c r="E12" s="1">
        <v>0</v>
      </c>
      <c r="F12" s="1">
        <f t="shared" ref="F12:F26" si="0">D12+E12</f>
        <v>0</v>
      </c>
      <c r="I12" s="1">
        <v>-3190</v>
      </c>
      <c r="J12" s="12"/>
    </row>
    <row r="13" spans="1:11">
      <c r="A13" s="11" t="s">
        <v>309</v>
      </c>
      <c r="B13" s="65">
        <v>0</v>
      </c>
      <c r="E13" s="1">
        <v>-706.72</v>
      </c>
      <c r="F13" s="1">
        <f t="shared" si="0"/>
        <v>-706.72</v>
      </c>
      <c r="H13" s="1">
        <v>-706.72</v>
      </c>
      <c r="I13" s="1">
        <v>-589.35</v>
      </c>
      <c r="J13" s="12"/>
    </row>
    <row r="14" spans="1:11">
      <c r="A14" s="11" t="s">
        <v>310</v>
      </c>
      <c r="B14" s="65">
        <v>100</v>
      </c>
      <c r="E14" s="1">
        <v>0</v>
      </c>
      <c r="F14" s="1">
        <f t="shared" si="0"/>
        <v>0</v>
      </c>
      <c r="G14" s="1">
        <v>100</v>
      </c>
      <c r="J14" s="12">
        <f t="shared" ref="J14:J28" si="1">B14/G14</f>
        <v>1</v>
      </c>
    </row>
    <row r="15" spans="1:11">
      <c r="A15" s="11" t="s">
        <v>311</v>
      </c>
      <c r="B15" s="77">
        <v>600</v>
      </c>
      <c r="D15" s="35">
        <v>402.4</v>
      </c>
      <c r="E15" s="1">
        <v>201.2</v>
      </c>
      <c r="F15" s="1">
        <f t="shared" si="0"/>
        <v>603.59999999999991</v>
      </c>
      <c r="G15" s="1">
        <v>600</v>
      </c>
      <c r="H15" s="1">
        <v>603.6</v>
      </c>
      <c r="I15" s="1">
        <v>603.6</v>
      </c>
      <c r="J15" s="12">
        <f t="shared" si="1"/>
        <v>1</v>
      </c>
    </row>
    <row r="16" spans="1:11">
      <c r="A16" s="11" t="s">
        <v>312</v>
      </c>
      <c r="B16" s="121">
        <v>24</v>
      </c>
      <c r="D16" s="35">
        <v>6.06</v>
      </c>
      <c r="E16" s="1">
        <v>0</v>
      </c>
      <c r="F16" s="1">
        <f t="shared" si="0"/>
        <v>6.06</v>
      </c>
      <c r="G16" s="1">
        <v>24</v>
      </c>
      <c r="I16" s="1">
        <v>1.1399999999999999</v>
      </c>
      <c r="J16" s="12">
        <f t="shared" si="1"/>
        <v>1</v>
      </c>
    </row>
    <row r="17" spans="1:11">
      <c r="A17" s="11" t="s">
        <v>313</v>
      </c>
      <c r="B17" s="121">
        <v>500</v>
      </c>
      <c r="D17" s="35"/>
      <c r="E17" s="1">
        <v>706.25</v>
      </c>
      <c r="F17" s="1">
        <f t="shared" si="0"/>
        <v>706.25</v>
      </c>
      <c r="G17" s="1">
        <v>500</v>
      </c>
      <c r="H17" s="1">
        <v>1019.05</v>
      </c>
      <c r="I17" s="1">
        <v>560</v>
      </c>
      <c r="J17" s="12">
        <f t="shared" si="1"/>
        <v>1</v>
      </c>
    </row>
    <row r="18" spans="1:11">
      <c r="A18" s="11" t="s">
        <v>314</v>
      </c>
      <c r="B18" s="121">
        <v>1000</v>
      </c>
      <c r="D18" s="35"/>
      <c r="E18" s="1">
        <v>392.96</v>
      </c>
      <c r="F18" s="1">
        <f t="shared" si="0"/>
        <v>392.96</v>
      </c>
      <c r="G18" s="1">
        <v>2000</v>
      </c>
      <c r="H18" s="1">
        <v>392.96</v>
      </c>
      <c r="I18" s="1">
        <v>1032.1600000000001</v>
      </c>
      <c r="J18" s="12">
        <f t="shared" si="1"/>
        <v>0.5</v>
      </c>
    </row>
    <row r="19" spans="1:11">
      <c r="A19" s="11" t="s">
        <v>315</v>
      </c>
      <c r="B19" s="121">
        <v>2500</v>
      </c>
      <c r="D19" s="35">
        <v>1876.55</v>
      </c>
      <c r="E19" s="1">
        <v>229.45</v>
      </c>
      <c r="F19" s="1">
        <f t="shared" si="0"/>
        <v>2106</v>
      </c>
      <c r="G19" s="1">
        <v>2500</v>
      </c>
      <c r="H19" s="1">
        <v>2229.4499999999998</v>
      </c>
      <c r="I19" s="1">
        <v>628.1</v>
      </c>
      <c r="J19" s="12">
        <f t="shared" si="1"/>
        <v>1</v>
      </c>
    </row>
    <row r="20" spans="1:11">
      <c r="A20" s="11" t="s">
        <v>316</v>
      </c>
      <c r="B20" s="121">
        <v>500</v>
      </c>
      <c r="D20" s="35"/>
      <c r="E20" s="1">
        <v>199.14</v>
      </c>
      <c r="F20" s="1">
        <f t="shared" si="0"/>
        <v>199.14</v>
      </c>
      <c r="G20" s="1">
        <v>150</v>
      </c>
      <c r="H20" s="1">
        <v>199.14</v>
      </c>
      <c r="I20" s="1">
        <v>30.4</v>
      </c>
      <c r="J20" s="12">
        <f t="shared" si="1"/>
        <v>3.3333333333333335</v>
      </c>
    </row>
    <row r="21" spans="1:11">
      <c r="A21" s="11" t="s">
        <v>317</v>
      </c>
      <c r="B21" s="121">
        <v>1500</v>
      </c>
      <c r="D21" s="35">
        <v>837.99</v>
      </c>
      <c r="E21" s="1">
        <v>484.4</v>
      </c>
      <c r="F21" s="1">
        <f t="shared" si="0"/>
        <v>1322.3899999999999</v>
      </c>
      <c r="G21" s="1">
        <v>1500</v>
      </c>
      <c r="H21" s="1">
        <v>1306.8499999999999</v>
      </c>
      <c r="I21" s="1">
        <v>195</v>
      </c>
      <c r="J21" s="12">
        <f t="shared" si="1"/>
        <v>1</v>
      </c>
    </row>
    <row r="22" spans="1:11">
      <c r="A22" s="11" t="s">
        <v>318</v>
      </c>
      <c r="B22" s="121">
        <v>300</v>
      </c>
      <c r="D22" s="35"/>
      <c r="E22" s="1">
        <v>0</v>
      </c>
      <c r="F22" s="1">
        <f t="shared" si="0"/>
        <v>0</v>
      </c>
      <c r="G22" s="1">
        <v>150</v>
      </c>
      <c r="H22" s="1">
        <v>43.48</v>
      </c>
      <c r="I22" s="1">
        <v>2589.79</v>
      </c>
      <c r="J22" s="12">
        <f t="shared" si="1"/>
        <v>2</v>
      </c>
    </row>
    <row r="23" spans="1:11">
      <c r="A23" s="11" t="s">
        <v>319</v>
      </c>
      <c r="B23" s="121">
        <v>750</v>
      </c>
      <c r="D23" s="35">
        <v>282.7</v>
      </c>
      <c r="E23" s="1">
        <v>0</v>
      </c>
      <c r="F23" s="1">
        <f t="shared" si="0"/>
        <v>282.7</v>
      </c>
      <c r="G23" s="1">
        <v>750</v>
      </c>
      <c r="H23" s="1">
        <v>574.71</v>
      </c>
      <c r="J23" s="12">
        <f t="shared" si="1"/>
        <v>1</v>
      </c>
    </row>
    <row r="24" spans="1:11">
      <c r="A24" s="11" t="s">
        <v>320</v>
      </c>
      <c r="B24" s="77">
        <v>5200</v>
      </c>
      <c r="D24" s="35">
        <v>3642.28</v>
      </c>
      <c r="E24" s="1">
        <v>1640.05</v>
      </c>
      <c r="F24" s="1">
        <f t="shared" si="0"/>
        <v>5282.33</v>
      </c>
      <c r="G24" s="1">
        <v>4750</v>
      </c>
      <c r="H24" s="1">
        <v>4244.6499999999996</v>
      </c>
      <c r="I24" s="1">
        <v>5149.22</v>
      </c>
      <c r="J24" s="12">
        <f t="shared" si="1"/>
        <v>1.0947368421052632</v>
      </c>
    </row>
    <row r="25" spans="1:11">
      <c r="A25" s="11" t="s">
        <v>321</v>
      </c>
      <c r="B25" s="65">
        <v>400</v>
      </c>
      <c r="D25" s="35">
        <v>269.02</v>
      </c>
      <c r="E25" s="1">
        <v>119.75</v>
      </c>
      <c r="F25" s="1">
        <f t="shared" si="0"/>
        <v>388.77</v>
      </c>
      <c r="G25" s="1">
        <v>400</v>
      </c>
      <c r="H25" s="1">
        <v>315.77</v>
      </c>
      <c r="I25" s="1">
        <v>407.29</v>
      </c>
      <c r="J25" s="12">
        <f t="shared" si="1"/>
        <v>1</v>
      </c>
    </row>
    <row r="26" spans="1:11">
      <c r="A26" s="11" t="s">
        <v>322</v>
      </c>
      <c r="B26" s="115">
        <v>1130</v>
      </c>
      <c r="D26" s="35">
        <v>454.12</v>
      </c>
      <c r="E26" s="1">
        <v>227.07</v>
      </c>
      <c r="F26" s="1">
        <f t="shared" si="0"/>
        <v>681.19</v>
      </c>
      <c r="G26" s="1">
        <v>680</v>
      </c>
      <c r="H26" s="1">
        <v>681.19</v>
      </c>
      <c r="I26" s="1">
        <v>681.19</v>
      </c>
      <c r="J26" s="12">
        <f t="shared" si="1"/>
        <v>1.661764705882353</v>
      </c>
    </row>
    <row r="27" spans="1:11">
      <c r="B27" s="66" t="s">
        <v>21</v>
      </c>
      <c r="D27" s="13" t="s">
        <v>21</v>
      </c>
      <c r="E27" s="13"/>
      <c r="F27" s="13" t="s">
        <v>21</v>
      </c>
      <c r="G27" s="13" t="s">
        <v>21</v>
      </c>
      <c r="H27" s="13" t="s">
        <v>21</v>
      </c>
      <c r="I27" s="13" t="s">
        <v>21</v>
      </c>
      <c r="J27" s="13" t="s">
        <v>21</v>
      </c>
    </row>
    <row r="28" spans="1:11">
      <c r="A28" s="11" t="s">
        <v>22</v>
      </c>
      <c r="B28" s="68">
        <f>SUM(B11:B26)</f>
        <v>14504</v>
      </c>
      <c r="C28" s="11"/>
      <c r="D28" s="1">
        <f>SUM(D11:D26)</f>
        <v>7771.12</v>
      </c>
      <c r="E28" s="1">
        <f>SUM(E11:E26)</f>
        <v>3493.5499999999997</v>
      </c>
      <c r="F28" s="1">
        <f>SUM(F11:F26)</f>
        <v>11264.67</v>
      </c>
      <c r="G28" s="1">
        <v>13104</v>
      </c>
      <c r="H28" s="1">
        <v>10904.13</v>
      </c>
      <c r="I28" s="1">
        <v>7468.54</v>
      </c>
      <c r="J28" s="12">
        <f t="shared" si="1"/>
        <v>1.1068376068376069</v>
      </c>
      <c r="K28" s="11"/>
    </row>
    <row r="29" spans="1:11">
      <c r="B29" s="66" t="s">
        <v>21</v>
      </c>
      <c r="D29" s="13" t="s">
        <v>21</v>
      </c>
      <c r="E29" s="13"/>
      <c r="F29" s="13" t="s">
        <v>21</v>
      </c>
      <c r="G29" s="13" t="s">
        <v>21</v>
      </c>
      <c r="H29" s="13" t="s">
        <v>21</v>
      </c>
      <c r="I29" s="13" t="s">
        <v>21</v>
      </c>
      <c r="J29" s="13" t="s">
        <v>21</v>
      </c>
    </row>
    <row r="30" spans="1:11">
      <c r="B30" s="64"/>
    </row>
    <row r="31" spans="1:11">
      <c r="A31" s="62" t="s">
        <v>924</v>
      </c>
      <c r="B31" s="60"/>
    </row>
    <row r="32" spans="1:11">
      <c r="B32" s="60"/>
      <c r="F32" s="5"/>
    </row>
    <row r="33" spans="1:6">
      <c r="A33" s="83" t="s">
        <v>814</v>
      </c>
      <c r="B33" s="60"/>
      <c r="F33" s="5"/>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K37"/>
  <sheetViews>
    <sheetView zoomScaleNormal="100" workbookViewId="0">
      <pane ySplit="8" topLeftCell="A9" activePane="bottomLeft" state="frozenSplit"/>
      <selection pane="bottomLeft" activeCell="A34" sqref="A34"/>
    </sheetView>
  </sheetViews>
  <sheetFormatPr defaultColWidth="9.1640625" defaultRowHeight="12.75" outlineLevelCol="1"/>
  <cols>
    <col min="1" max="1" width="49.6640625" customWidth="1"/>
    <col min="2" max="2" width="14.5" customWidth="1"/>
    <col min="3" max="3" width="3.6640625" customWidth="1"/>
    <col min="4" max="5" width="14.5" style="1" hidden="1" customWidth="1" outlineLevel="1"/>
    <col min="6" max="6" width="14.5" style="1" customWidth="1" collapsed="1"/>
    <col min="7" max="9" width="14.5" style="1" customWidth="1"/>
    <col min="10" max="10" width="10.33203125" style="2" customWidth="1"/>
    <col min="11" max="11" width="96" customWidth="1"/>
  </cols>
  <sheetData>
    <row r="1" spans="1:11" ht="15">
      <c r="A1" s="125" t="s">
        <v>0</v>
      </c>
      <c r="B1" s="125"/>
      <c r="C1" s="125"/>
      <c r="D1" s="125"/>
      <c r="E1" s="125"/>
      <c r="F1" s="125"/>
      <c r="G1" s="125"/>
      <c r="H1" s="125"/>
      <c r="I1" s="125"/>
      <c r="J1" s="125"/>
      <c r="K1" s="4"/>
    </row>
    <row r="2" spans="1:11">
      <c r="A2" s="126" t="s">
        <v>956</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ht="38.25">
      <c r="A11" s="11" t="s">
        <v>323</v>
      </c>
      <c r="B11" s="65">
        <v>-4000</v>
      </c>
      <c r="D11" s="35">
        <v>-3880</v>
      </c>
      <c r="E11" s="1">
        <v>0</v>
      </c>
      <c r="F11" s="1">
        <f>D11+E11</f>
        <v>-3880</v>
      </c>
      <c r="G11" s="1">
        <v>-4500</v>
      </c>
      <c r="H11" s="1">
        <v>-3870.3</v>
      </c>
      <c r="I11" s="1">
        <v>-2958.49</v>
      </c>
      <c r="J11" s="12">
        <f>B11/G11</f>
        <v>0.88888888888888884</v>
      </c>
      <c r="K11" s="69" t="s">
        <v>815</v>
      </c>
    </row>
    <row r="12" spans="1:11">
      <c r="A12" s="11" t="s">
        <v>324</v>
      </c>
      <c r="B12" s="65">
        <v>-4500</v>
      </c>
      <c r="D12" s="35">
        <v>-4810</v>
      </c>
      <c r="E12" s="1">
        <v>0</v>
      </c>
      <c r="F12" s="1">
        <f t="shared" ref="F12:F24" si="0">D12+E12</f>
        <v>-4810</v>
      </c>
      <c r="G12" s="1">
        <v>-3000</v>
      </c>
      <c r="H12" s="1">
        <v>-2070</v>
      </c>
      <c r="I12" s="1">
        <v>-2670</v>
      </c>
      <c r="J12" s="12">
        <f t="shared" ref="J12:J26" si="1">B12/G12</f>
        <v>1.5</v>
      </c>
      <c r="K12" t="s">
        <v>816</v>
      </c>
    </row>
    <row r="13" spans="1:11">
      <c r="A13" s="11" t="s">
        <v>325</v>
      </c>
      <c r="B13" s="65">
        <v>160</v>
      </c>
      <c r="D13" s="35"/>
      <c r="E13" s="1">
        <v>2.2799999999999998</v>
      </c>
      <c r="F13" s="1">
        <f t="shared" si="0"/>
        <v>2.2799999999999998</v>
      </c>
      <c r="G13" s="1">
        <v>160</v>
      </c>
      <c r="H13" s="1">
        <v>2.2799999999999998</v>
      </c>
      <c r="I13" s="1">
        <v>11.55</v>
      </c>
      <c r="J13" s="12">
        <f t="shared" si="1"/>
        <v>1</v>
      </c>
    </row>
    <row r="14" spans="1:11">
      <c r="A14" s="11" t="s">
        <v>326</v>
      </c>
      <c r="B14" s="65">
        <v>120</v>
      </c>
      <c r="D14" s="35">
        <v>75.81</v>
      </c>
      <c r="E14" s="1">
        <v>37.76</v>
      </c>
      <c r="F14" s="1">
        <f t="shared" si="0"/>
        <v>113.57</v>
      </c>
      <c r="G14" s="1">
        <v>120</v>
      </c>
      <c r="H14" s="1">
        <v>113.28</v>
      </c>
      <c r="J14" s="12">
        <f t="shared" si="1"/>
        <v>1</v>
      </c>
    </row>
    <row r="15" spans="1:11">
      <c r="A15" s="11" t="s">
        <v>327</v>
      </c>
      <c r="B15" s="65">
        <v>0</v>
      </c>
      <c r="D15" s="35"/>
      <c r="E15" s="1">
        <v>0</v>
      </c>
      <c r="F15" s="1">
        <f t="shared" si="0"/>
        <v>0</v>
      </c>
      <c r="H15" s="1">
        <v>13.97</v>
      </c>
      <c r="I15" s="1">
        <v>0.36</v>
      </c>
      <c r="J15" s="12"/>
    </row>
    <row r="16" spans="1:11">
      <c r="A16" s="11" t="s">
        <v>328</v>
      </c>
      <c r="B16" s="65">
        <v>6000</v>
      </c>
      <c r="D16" s="35">
        <v>5517.75</v>
      </c>
      <c r="E16" s="1">
        <v>0</v>
      </c>
      <c r="F16" s="1">
        <f t="shared" si="0"/>
        <v>5517.75</v>
      </c>
      <c r="G16" s="1">
        <v>6000</v>
      </c>
      <c r="H16" s="1">
        <v>4491.75</v>
      </c>
      <c r="I16" s="1">
        <v>6572.53</v>
      </c>
      <c r="J16" s="12">
        <f t="shared" si="1"/>
        <v>1</v>
      </c>
    </row>
    <row r="17" spans="1:11">
      <c r="A17" s="11" t="s">
        <v>329</v>
      </c>
      <c r="B17" s="65">
        <v>1000</v>
      </c>
      <c r="D17" s="35"/>
      <c r="E17" s="1">
        <v>724.02</v>
      </c>
      <c r="F17" s="1">
        <f t="shared" si="0"/>
        <v>724.02</v>
      </c>
      <c r="G17" s="1">
        <v>1000</v>
      </c>
      <c r="H17" s="1">
        <v>724.02</v>
      </c>
      <c r="I17" s="1">
        <v>942.74</v>
      </c>
      <c r="J17" s="12">
        <f t="shared" si="1"/>
        <v>1</v>
      </c>
    </row>
    <row r="18" spans="1:11">
      <c r="A18" s="11" t="s">
        <v>330</v>
      </c>
      <c r="B18" s="65">
        <v>1500</v>
      </c>
      <c r="D18" s="35">
        <v>1164.96</v>
      </c>
      <c r="E18" s="1">
        <v>89.45</v>
      </c>
      <c r="F18" s="1">
        <f t="shared" si="0"/>
        <v>1254.4100000000001</v>
      </c>
      <c r="G18" s="1">
        <v>1500</v>
      </c>
      <c r="H18" s="1">
        <v>1043.8900000000001</v>
      </c>
      <c r="I18" s="1">
        <v>505.53</v>
      </c>
      <c r="J18" s="12">
        <f t="shared" si="1"/>
        <v>1</v>
      </c>
    </row>
    <row r="19" spans="1:11">
      <c r="A19" s="11" t="s">
        <v>331</v>
      </c>
      <c r="B19" s="65">
        <v>1000</v>
      </c>
      <c r="D19" s="35">
        <v>105.87</v>
      </c>
      <c r="E19" s="1">
        <v>0</v>
      </c>
      <c r="F19" s="1">
        <f t="shared" si="0"/>
        <v>105.87</v>
      </c>
      <c r="G19" s="1">
        <v>1000</v>
      </c>
      <c r="H19" s="1">
        <v>1615.3</v>
      </c>
      <c r="I19" s="1">
        <v>88.14</v>
      </c>
      <c r="J19" s="12">
        <f t="shared" si="1"/>
        <v>1</v>
      </c>
    </row>
    <row r="20" spans="1:11" ht="38.25">
      <c r="A20" s="11" t="s">
        <v>332</v>
      </c>
      <c r="B20" s="65">
        <v>6000</v>
      </c>
      <c r="D20" s="35">
        <v>7409.65</v>
      </c>
      <c r="E20" s="1">
        <v>0</v>
      </c>
      <c r="F20" s="1">
        <f t="shared" si="0"/>
        <v>7409.65</v>
      </c>
      <c r="G20" s="1">
        <v>4500</v>
      </c>
      <c r="H20" s="1">
        <v>5209.3</v>
      </c>
      <c r="I20" s="1">
        <v>4830.9799999999996</v>
      </c>
      <c r="J20" s="12">
        <f t="shared" si="1"/>
        <v>1.3333333333333333</v>
      </c>
      <c r="K20" s="69" t="s">
        <v>817</v>
      </c>
    </row>
    <row r="21" spans="1:11">
      <c r="A21" s="11" t="s">
        <v>333</v>
      </c>
      <c r="B21" s="65">
        <v>1700</v>
      </c>
      <c r="D21" s="35">
        <v>1313.86</v>
      </c>
      <c r="E21" s="1">
        <v>107.8</v>
      </c>
      <c r="F21" s="1">
        <f t="shared" si="0"/>
        <v>1421.6599999999999</v>
      </c>
      <c r="G21" s="1">
        <v>2000</v>
      </c>
      <c r="H21" s="1">
        <v>1855.52</v>
      </c>
      <c r="I21" s="1">
        <v>403.99</v>
      </c>
      <c r="J21" s="12">
        <f t="shared" si="1"/>
        <v>0.85</v>
      </c>
    </row>
    <row r="22" spans="1:11">
      <c r="A22" s="11" t="s">
        <v>334</v>
      </c>
      <c r="B22" s="65">
        <v>9000</v>
      </c>
      <c r="D22" s="35">
        <v>7180.09</v>
      </c>
      <c r="E22" s="1">
        <v>1683.19</v>
      </c>
      <c r="F22" s="1">
        <f t="shared" si="0"/>
        <v>8863.2800000000007</v>
      </c>
      <c r="G22" s="1">
        <v>8300</v>
      </c>
      <c r="H22" s="1">
        <v>7984.56</v>
      </c>
      <c r="I22" s="1">
        <v>8086.16</v>
      </c>
      <c r="J22" s="12">
        <f t="shared" si="1"/>
        <v>1.0843373493975903</v>
      </c>
      <c r="K22" t="s">
        <v>818</v>
      </c>
    </row>
    <row r="23" spans="1:11">
      <c r="A23" s="11" t="s">
        <v>335</v>
      </c>
      <c r="B23" s="65">
        <v>750</v>
      </c>
      <c r="D23" s="35">
        <v>625.26</v>
      </c>
      <c r="E23" s="1">
        <v>124.32</v>
      </c>
      <c r="F23" s="1">
        <f t="shared" si="0"/>
        <v>749.57999999999993</v>
      </c>
      <c r="G23" s="1">
        <v>750</v>
      </c>
      <c r="H23" s="1">
        <v>666.13</v>
      </c>
      <c r="I23" s="1">
        <v>662.85</v>
      </c>
      <c r="J23" s="12">
        <f t="shared" si="1"/>
        <v>1</v>
      </c>
    </row>
    <row r="24" spans="1:11">
      <c r="A24" s="11" t="s">
        <v>336</v>
      </c>
      <c r="B24" s="115">
        <v>260</v>
      </c>
      <c r="D24" s="35">
        <v>173.38</v>
      </c>
      <c r="E24" s="1">
        <v>86.68</v>
      </c>
      <c r="F24" s="1">
        <f t="shared" si="0"/>
        <v>260.06</v>
      </c>
      <c r="G24" s="1">
        <v>260</v>
      </c>
      <c r="H24" s="1">
        <v>260.06</v>
      </c>
      <c r="I24" s="1">
        <v>260.06</v>
      </c>
      <c r="J24" s="12">
        <f t="shared" si="1"/>
        <v>1</v>
      </c>
    </row>
    <row r="25" spans="1:11">
      <c r="B25" s="66" t="s">
        <v>21</v>
      </c>
      <c r="D25" s="13" t="s">
        <v>21</v>
      </c>
      <c r="E25" s="13"/>
      <c r="F25" s="13" t="s">
        <v>21</v>
      </c>
      <c r="G25" s="13" t="s">
        <v>21</v>
      </c>
      <c r="H25" s="13" t="s">
        <v>21</v>
      </c>
      <c r="I25" s="13" t="s">
        <v>21</v>
      </c>
      <c r="J25" s="13" t="s">
        <v>21</v>
      </c>
    </row>
    <row r="26" spans="1:11">
      <c r="A26" s="11" t="s">
        <v>22</v>
      </c>
      <c r="B26" s="65">
        <f>SUM(B11:B24)</f>
        <v>18990</v>
      </c>
      <c r="C26" s="11"/>
      <c r="D26" s="1">
        <f>SUM(D11:D24)</f>
        <v>14876.629999999997</v>
      </c>
      <c r="E26" s="1">
        <f>SUM(E11:E24)</f>
        <v>2855.5</v>
      </c>
      <c r="F26" s="1">
        <f>SUM(F11:F24)</f>
        <v>17732.13</v>
      </c>
      <c r="G26" s="1">
        <v>18090</v>
      </c>
      <c r="H26" s="1">
        <v>18039.759999999998</v>
      </c>
      <c r="I26" s="1">
        <v>16736.400000000001</v>
      </c>
      <c r="J26" s="12">
        <f t="shared" si="1"/>
        <v>1.0497512437810945</v>
      </c>
      <c r="K26" s="11"/>
    </row>
    <row r="27" spans="1:11">
      <c r="B27" s="66" t="s">
        <v>21</v>
      </c>
      <c r="D27" s="13" t="s">
        <v>21</v>
      </c>
      <c r="E27" s="13"/>
      <c r="F27" s="13" t="s">
        <v>21</v>
      </c>
      <c r="G27" s="13" t="s">
        <v>21</v>
      </c>
      <c r="H27" s="13" t="s">
        <v>21</v>
      </c>
      <c r="I27" s="13" t="s">
        <v>21</v>
      </c>
      <c r="J27" s="13" t="s">
        <v>21</v>
      </c>
    </row>
    <row r="28" spans="1:11">
      <c r="B28" s="64"/>
      <c r="K28" t="s">
        <v>930</v>
      </c>
    </row>
    <row r="29" spans="1:11">
      <c r="B29" s="60"/>
    </row>
    <row r="30" spans="1:11">
      <c r="B30" s="60"/>
    </row>
    <row r="31" spans="1:11">
      <c r="B31" s="60"/>
    </row>
    <row r="32" spans="1:11">
      <c r="B32" s="60"/>
    </row>
    <row r="33" spans="2:2">
      <c r="B33" s="60"/>
    </row>
    <row r="34" spans="2:2">
      <c r="B34" s="60"/>
    </row>
    <row r="35" spans="2:2">
      <c r="B35" s="60"/>
    </row>
    <row r="36" spans="2:2">
      <c r="B36" s="60"/>
    </row>
    <row r="37" spans="2:2">
      <c r="B37" s="60"/>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K24"/>
  <sheetViews>
    <sheetView zoomScaleNormal="100" workbookViewId="0">
      <pane ySplit="8" topLeftCell="A9" activePane="bottomLeft" state="frozenSplit"/>
      <selection pane="bottomLeft" activeCell="A32" sqref="A32"/>
    </sheetView>
  </sheetViews>
  <sheetFormatPr defaultColWidth="9.1640625" defaultRowHeight="12.75" outlineLevelCol="1"/>
  <cols>
    <col min="1" max="1" width="47" customWidth="1"/>
    <col min="2" max="2" width="14.5" customWidth="1"/>
    <col min="3" max="3" width="3" customWidth="1"/>
    <col min="4" max="5" width="14.5" style="1" hidden="1" customWidth="1" outlineLevel="1"/>
    <col min="6" max="6" width="14.5" style="1" customWidth="1" collapsed="1"/>
    <col min="7" max="9" width="14.5" style="1" customWidth="1"/>
    <col min="10" max="10" width="10.1640625" style="2" customWidth="1"/>
    <col min="11" max="11" width="55.5" customWidth="1"/>
  </cols>
  <sheetData>
    <row r="1" spans="1:11" ht="15">
      <c r="A1" s="125" t="s">
        <v>0</v>
      </c>
      <c r="B1" s="125"/>
      <c r="C1" s="125"/>
      <c r="D1" s="125"/>
      <c r="E1" s="125"/>
      <c r="F1" s="125"/>
      <c r="G1" s="125"/>
      <c r="H1" s="125"/>
      <c r="I1" s="125"/>
      <c r="J1" s="125"/>
      <c r="K1" s="4"/>
    </row>
    <row r="2" spans="1:11">
      <c r="A2" s="126" t="s">
        <v>957</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337</v>
      </c>
      <c r="B11" s="1">
        <v>-19000</v>
      </c>
      <c r="D11" s="1">
        <v>-17168.419999999998</v>
      </c>
      <c r="E11" s="1">
        <v>380</v>
      </c>
      <c r="F11" s="1">
        <f>D11+E11</f>
        <v>-16788.419999999998</v>
      </c>
      <c r="G11" s="1">
        <v>-27000</v>
      </c>
      <c r="H11" s="1">
        <v>-26424.14</v>
      </c>
      <c r="I11" s="1">
        <v>-23750</v>
      </c>
      <c r="J11" s="12">
        <f>B11/G11</f>
        <v>0.70370370370370372</v>
      </c>
    </row>
    <row r="12" spans="1:11">
      <c r="A12" s="11" t="s">
        <v>338</v>
      </c>
      <c r="B12" s="1">
        <v>-300</v>
      </c>
      <c r="D12" s="1">
        <v>-640</v>
      </c>
      <c r="E12" s="1">
        <v>0</v>
      </c>
      <c r="F12" s="1">
        <f t="shared" ref="F12:F20" si="0">D12+E12</f>
        <v>-640</v>
      </c>
      <c r="J12" s="12"/>
    </row>
    <row r="13" spans="1:11">
      <c r="A13" s="11" t="s">
        <v>339</v>
      </c>
      <c r="B13" s="1">
        <v>-4000</v>
      </c>
      <c r="D13" s="1">
        <v>-1266.8</v>
      </c>
      <c r="E13" s="1">
        <v>0</v>
      </c>
      <c r="F13" s="1">
        <f t="shared" si="0"/>
        <v>-1266.8</v>
      </c>
      <c r="G13" s="1">
        <v>-1000</v>
      </c>
      <c r="H13" s="1">
        <v>-881.62</v>
      </c>
      <c r="J13" s="12">
        <f t="shared" ref="J13:J22" si="1">B13/G13</f>
        <v>4</v>
      </c>
    </row>
    <row r="14" spans="1:11">
      <c r="A14" s="11" t="s">
        <v>340</v>
      </c>
      <c r="B14" s="1">
        <v>0</v>
      </c>
      <c r="E14" s="1">
        <v>0</v>
      </c>
      <c r="F14" s="1">
        <f t="shared" si="0"/>
        <v>0</v>
      </c>
      <c r="I14" s="1">
        <v>1.48</v>
      </c>
      <c r="J14" s="12"/>
    </row>
    <row r="15" spans="1:11">
      <c r="A15" s="11" t="s">
        <v>341</v>
      </c>
      <c r="B15" s="1">
        <v>98</v>
      </c>
      <c r="D15" s="35">
        <v>80.64</v>
      </c>
      <c r="E15" s="1">
        <v>32.24</v>
      </c>
      <c r="F15" s="1">
        <f t="shared" si="0"/>
        <v>112.88</v>
      </c>
      <c r="G15" s="1">
        <v>98</v>
      </c>
      <c r="H15" s="1">
        <v>96.72</v>
      </c>
      <c r="I15" s="1">
        <v>96.72</v>
      </c>
      <c r="J15" s="12">
        <f t="shared" si="1"/>
        <v>1</v>
      </c>
    </row>
    <row r="16" spans="1:11">
      <c r="A16" s="11" t="s">
        <v>342</v>
      </c>
      <c r="B16" s="1">
        <v>12</v>
      </c>
      <c r="D16" s="35">
        <v>0.66</v>
      </c>
      <c r="E16" s="1">
        <v>0</v>
      </c>
      <c r="F16" s="1">
        <f t="shared" si="0"/>
        <v>0.66</v>
      </c>
      <c r="G16" s="1">
        <v>12</v>
      </c>
      <c r="H16" s="1">
        <v>3.37</v>
      </c>
      <c r="I16" s="1">
        <v>6.01</v>
      </c>
      <c r="J16" s="12">
        <f t="shared" si="1"/>
        <v>1</v>
      </c>
    </row>
    <row r="17" spans="1:11">
      <c r="A17" s="11" t="s">
        <v>343</v>
      </c>
      <c r="B17" s="1">
        <v>39000</v>
      </c>
      <c r="D17" s="35">
        <v>44342.239999999998</v>
      </c>
      <c r="E17" s="1">
        <v>307.89999999999998</v>
      </c>
      <c r="F17" s="1">
        <f t="shared" si="0"/>
        <v>44650.14</v>
      </c>
      <c r="G17" s="1">
        <v>43000</v>
      </c>
      <c r="H17" s="1">
        <v>44961.35</v>
      </c>
      <c r="I17" s="1">
        <v>41028.58</v>
      </c>
      <c r="J17" s="12">
        <f t="shared" si="1"/>
        <v>0.90697674418604646</v>
      </c>
    </row>
    <row r="18" spans="1:11">
      <c r="A18" s="11" t="s">
        <v>344</v>
      </c>
      <c r="B18" s="1">
        <v>4000</v>
      </c>
      <c r="D18" s="35">
        <v>1178.3900000000001</v>
      </c>
      <c r="E18" s="1">
        <v>2437.58</v>
      </c>
      <c r="F18" s="1">
        <f t="shared" si="0"/>
        <v>3615.9700000000003</v>
      </c>
      <c r="G18" s="1">
        <v>3800</v>
      </c>
      <c r="H18" s="1">
        <v>3501.42</v>
      </c>
      <c r="I18" s="1">
        <v>3786.2</v>
      </c>
      <c r="J18" s="12">
        <f t="shared" si="1"/>
        <v>1.0526315789473684</v>
      </c>
    </row>
    <row r="19" spans="1:11">
      <c r="A19" s="11" t="s">
        <v>345</v>
      </c>
      <c r="B19" s="1">
        <v>360</v>
      </c>
      <c r="D19" s="35">
        <v>84.76</v>
      </c>
      <c r="E19" s="1">
        <v>187.28</v>
      </c>
      <c r="F19" s="1">
        <f t="shared" si="0"/>
        <v>272.04000000000002</v>
      </c>
      <c r="G19" s="1">
        <v>360</v>
      </c>
      <c r="H19" s="1">
        <v>269.43</v>
      </c>
      <c r="I19" s="1">
        <v>274.10000000000002</v>
      </c>
      <c r="J19" s="12">
        <f t="shared" si="1"/>
        <v>1</v>
      </c>
    </row>
    <row r="20" spans="1:11">
      <c r="A20" s="11" t="s">
        <v>346</v>
      </c>
      <c r="B20" s="1">
        <v>132</v>
      </c>
      <c r="D20" s="35">
        <v>303.58999999999997</v>
      </c>
      <c r="E20" s="1">
        <v>41.18</v>
      </c>
      <c r="F20" s="1">
        <f t="shared" si="0"/>
        <v>344.77</v>
      </c>
      <c r="G20" s="1">
        <v>132</v>
      </c>
      <c r="H20" s="1">
        <v>60.46</v>
      </c>
      <c r="I20" s="1">
        <v>134.9</v>
      </c>
      <c r="J20" s="12">
        <f t="shared" si="1"/>
        <v>1</v>
      </c>
    </row>
    <row r="21" spans="1:11">
      <c r="B21" s="13" t="s">
        <v>21</v>
      </c>
      <c r="D21" s="13" t="s">
        <v>21</v>
      </c>
      <c r="E21" s="13"/>
      <c r="F21" s="13" t="s">
        <v>21</v>
      </c>
      <c r="G21" s="13" t="s">
        <v>21</v>
      </c>
      <c r="H21" s="13" t="s">
        <v>21</v>
      </c>
      <c r="I21" s="13" t="s">
        <v>21</v>
      </c>
      <c r="J21" s="13" t="s">
        <v>21</v>
      </c>
    </row>
    <row r="22" spans="1:11">
      <c r="A22" s="11" t="s">
        <v>22</v>
      </c>
      <c r="B22" s="1">
        <f>SUM(B11:B20)</f>
        <v>20302</v>
      </c>
      <c r="C22" s="11"/>
      <c r="D22" s="1">
        <f>SUM(D11:D20)</f>
        <v>26915.059999999998</v>
      </c>
      <c r="E22" s="1">
        <f>SUM(E11:E20)</f>
        <v>3386.18</v>
      </c>
      <c r="F22" s="1">
        <f>SUM(F11:F20)</f>
        <v>30301.240000000005</v>
      </c>
      <c r="G22" s="1">
        <v>19402</v>
      </c>
      <c r="H22" s="1">
        <v>21586.99</v>
      </c>
      <c r="I22" s="1">
        <v>21577.99</v>
      </c>
      <c r="J22" s="12">
        <f t="shared" si="1"/>
        <v>1.0463869704154212</v>
      </c>
      <c r="K22" s="11"/>
    </row>
    <row r="23" spans="1:11">
      <c r="B23" s="13" t="s">
        <v>21</v>
      </c>
      <c r="D23" s="13" t="s">
        <v>21</v>
      </c>
      <c r="E23" s="13"/>
      <c r="F23" s="13" t="s">
        <v>21</v>
      </c>
      <c r="G23" s="13" t="s">
        <v>21</v>
      </c>
      <c r="H23" s="13" t="s">
        <v>21</v>
      </c>
      <c r="I23" s="13" t="s">
        <v>21</v>
      </c>
      <c r="J23" s="13" t="s">
        <v>21</v>
      </c>
    </row>
    <row r="24" spans="1:11">
      <c r="B24" s="64"/>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K24"/>
  <sheetViews>
    <sheetView zoomScaleNormal="100" workbookViewId="0">
      <pane ySplit="8" topLeftCell="A9" activePane="bottomLeft" state="frozenSplit"/>
      <selection pane="bottomLeft" activeCell="A34" sqref="A34"/>
    </sheetView>
  </sheetViews>
  <sheetFormatPr defaultColWidth="9.1640625" defaultRowHeight="12.75" outlineLevelCol="1"/>
  <cols>
    <col min="1" max="1" width="46.6640625" customWidth="1"/>
    <col min="2" max="2" width="14.5" customWidth="1"/>
    <col min="3" max="3" width="3.832031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958</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347</v>
      </c>
      <c r="B11" s="1">
        <v>-100000</v>
      </c>
      <c r="C11" s="39"/>
      <c r="D11" s="35">
        <v>-118353.39</v>
      </c>
      <c r="E11" s="1">
        <f>370-2000</f>
        <v>-1630</v>
      </c>
      <c r="F11" s="1">
        <f>D11+E11</f>
        <v>-119983.39</v>
      </c>
      <c r="G11" s="1">
        <v>-85000</v>
      </c>
      <c r="H11" s="1">
        <v>-113349.33</v>
      </c>
      <c r="I11" s="1">
        <v>-94052.39</v>
      </c>
      <c r="J11" s="12">
        <f>B11/G11</f>
        <v>1.1764705882352942</v>
      </c>
    </row>
    <row r="12" spans="1:11">
      <c r="A12" s="11" t="s">
        <v>348</v>
      </c>
      <c r="B12" s="1">
        <v>-1500</v>
      </c>
      <c r="D12" s="35">
        <v>-1717.55</v>
      </c>
      <c r="E12" s="1">
        <v>0</v>
      </c>
      <c r="F12" s="1">
        <f t="shared" ref="F12:F20" si="0">D12+E12</f>
        <v>-1717.55</v>
      </c>
      <c r="G12" s="1">
        <v>-1500</v>
      </c>
      <c r="H12" s="1">
        <v>-1467.95</v>
      </c>
      <c r="I12" s="1">
        <v>-2008.58</v>
      </c>
      <c r="J12" s="12">
        <f>B12/G12</f>
        <v>1</v>
      </c>
    </row>
    <row r="13" spans="1:11">
      <c r="A13" s="11" t="s">
        <v>349</v>
      </c>
      <c r="B13" s="1">
        <v>0</v>
      </c>
      <c r="E13" s="1">
        <v>0</v>
      </c>
      <c r="F13" s="1">
        <f t="shared" si="0"/>
        <v>0</v>
      </c>
      <c r="I13" s="1">
        <v>-1300</v>
      </c>
      <c r="J13" s="12"/>
    </row>
    <row r="14" spans="1:11">
      <c r="A14" s="11" t="s">
        <v>350</v>
      </c>
      <c r="B14" s="1">
        <v>120</v>
      </c>
      <c r="D14" s="35">
        <v>75.900000000000006</v>
      </c>
      <c r="E14" s="1">
        <v>37.72</v>
      </c>
      <c r="F14" s="1">
        <f t="shared" si="0"/>
        <v>113.62</v>
      </c>
      <c r="G14" s="1">
        <v>160</v>
      </c>
      <c r="H14" s="1">
        <v>141.46</v>
      </c>
      <c r="I14" s="1">
        <v>339.81</v>
      </c>
      <c r="J14" s="12">
        <f t="shared" ref="J14:J20" si="1">B14/G14</f>
        <v>0.75</v>
      </c>
    </row>
    <row r="15" spans="1:11">
      <c r="A15" s="11" t="s">
        <v>351</v>
      </c>
      <c r="B15" s="1">
        <v>50</v>
      </c>
      <c r="D15" s="35">
        <v>50.15</v>
      </c>
      <c r="E15" s="1">
        <v>0</v>
      </c>
      <c r="F15" s="1">
        <f t="shared" si="0"/>
        <v>50.15</v>
      </c>
      <c r="G15" s="1">
        <v>24</v>
      </c>
      <c r="H15" s="1">
        <v>0.75</v>
      </c>
      <c r="I15" s="1">
        <v>0.04</v>
      </c>
      <c r="J15" s="12">
        <f t="shared" si="1"/>
        <v>2.0833333333333335</v>
      </c>
    </row>
    <row r="16" spans="1:11">
      <c r="A16" s="11" t="s">
        <v>352</v>
      </c>
      <c r="B16" s="1">
        <v>18000</v>
      </c>
      <c r="D16" s="35">
        <v>15034.15</v>
      </c>
      <c r="E16" s="1">
        <v>2143.89</v>
      </c>
      <c r="F16" s="1">
        <f t="shared" si="0"/>
        <v>17178.04</v>
      </c>
      <c r="G16" s="1">
        <v>15000</v>
      </c>
      <c r="H16" s="1">
        <v>16075.24</v>
      </c>
      <c r="I16" s="1">
        <v>17720.580000000002</v>
      </c>
      <c r="J16" s="12">
        <f t="shared" si="1"/>
        <v>1.2</v>
      </c>
    </row>
    <row r="17" spans="1:11">
      <c r="A17" s="11" t="s">
        <v>353</v>
      </c>
      <c r="B17" s="1">
        <v>700</v>
      </c>
      <c r="D17" s="35">
        <v>685.72</v>
      </c>
      <c r="E17" s="1">
        <v>0</v>
      </c>
      <c r="F17" s="1">
        <f t="shared" si="0"/>
        <v>685.72</v>
      </c>
      <c r="G17" s="1">
        <v>200</v>
      </c>
      <c r="H17" s="1">
        <v>157.30000000000001</v>
      </c>
      <c r="I17" s="1">
        <v>50.83</v>
      </c>
      <c r="J17" s="12">
        <f t="shared" si="1"/>
        <v>3.5</v>
      </c>
    </row>
    <row r="18" spans="1:11">
      <c r="A18" s="11" t="s">
        <v>354</v>
      </c>
      <c r="B18" s="1">
        <v>93000</v>
      </c>
      <c r="D18" s="35">
        <v>126594.77</v>
      </c>
      <c r="E18" s="1">
        <v>0</v>
      </c>
      <c r="F18" s="1">
        <f t="shared" si="0"/>
        <v>126594.77</v>
      </c>
      <c r="G18" s="1">
        <v>85200</v>
      </c>
      <c r="H18" s="1">
        <v>118352.95</v>
      </c>
      <c r="I18" s="1">
        <v>93098.3</v>
      </c>
      <c r="J18" s="12">
        <f t="shared" si="1"/>
        <v>1.091549295774648</v>
      </c>
    </row>
    <row r="19" spans="1:11">
      <c r="A19" s="11" t="s">
        <v>355</v>
      </c>
      <c r="B19" s="1">
        <v>5500</v>
      </c>
      <c r="D19" s="35">
        <v>5511.93</v>
      </c>
      <c r="E19" s="1">
        <v>0</v>
      </c>
      <c r="F19" s="1">
        <f t="shared" si="0"/>
        <v>5511.93</v>
      </c>
      <c r="G19" s="1">
        <v>5100</v>
      </c>
      <c r="H19" s="1">
        <v>4896.88</v>
      </c>
      <c r="I19" s="1">
        <v>4841.13</v>
      </c>
      <c r="J19" s="12">
        <f t="shared" si="1"/>
        <v>1.0784313725490196</v>
      </c>
    </row>
    <row r="20" spans="1:11">
      <c r="A20" s="11" t="s">
        <v>356</v>
      </c>
      <c r="B20" s="1">
        <v>500</v>
      </c>
      <c r="D20" s="35">
        <v>475.37</v>
      </c>
      <c r="E20" s="1">
        <v>0</v>
      </c>
      <c r="F20" s="1">
        <f t="shared" si="0"/>
        <v>475.37</v>
      </c>
      <c r="G20" s="1">
        <v>500</v>
      </c>
      <c r="H20" s="1">
        <v>412.49</v>
      </c>
      <c r="I20" s="1">
        <v>405.42</v>
      </c>
      <c r="J20" s="12">
        <f t="shared" si="1"/>
        <v>1</v>
      </c>
    </row>
    <row r="21" spans="1:11">
      <c r="B21" s="13" t="s">
        <v>21</v>
      </c>
      <c r="D21" s="13" t="s">
        <v>21</v>
      </c>
      <c r="E21" s="13"/>
      <c r="F21" s="13" t="s">
        <v>21</v>
      </c>
      <c r="G21" s="13" t="s">
        <v>21</v>
      </c>
      <c r="H21" s="13" t="s">
        <v>21</v>
      </c>
      <c r="I21" s="13" t="s">
        <v>21</v>
      </c>
      <c r="J21" s="13" t="s">
        <v>21</v>
      </c>
    </row>
    <row r="22" spans="1:11">
      <c r="A22" s="11" t="s">
        <v>22</v>
      </c>
      <c r="B22" s="1">
        <f>SUM(B11:B20)</f>
        <v>16370</v>
      </c>
      <c r="C22" s="11"/>
      <c r="D22" s="1">
        <f>SUM(D11:D20)</f>
        <v>28357.049999999985</v>
      </c>
      <c r="E22" s="1">
        <f>SUM(E11:E20)</f>
        <v>551.6099999999999</v>
      </c>
      <c r="F22" s="1">
        <f>SUM(F11:F20)</f>
        <v>28908.66</v>
      </c>
      <c r="G22" s="1">
        <v>19684</v>
      </c>
      <c r="H22" s="1">
        <v>25219.79</v>
      </c>
      <c r="I22" s="1">
        <v>19095.14</v>
      </c>
      <c r="J22" s="12">
        <f>B22/G22</f>
        <v>0.83163991058727904</v>
      </c>
      <c r="K22" s="11"/>
    </row>
    <row r="23" spans="1:11">
      <c r="B23" s="13" t="s">
        <v>21</v>
      </c>
      <c r="D23" s="13" t="s">
        <v>21</v>
      </c>
      <c r="E23" s="13"/>
      <c r="F23" s="13" t="s">
        <v>21</v>
      </c>
      <c r="G23" s="13" t="s">
        <v>21</v>
      </c>
      <c r="H23" s="13" t="s">
        <v>21</v>
      </c>
      <c r="I23" s="13" t="s">
        <v>21</v>
      </c>
      <c r="J23" s="13" t="s">
        <v>21</v>
      </c>
    </row>
    <row r="24" spans="1:11">
      <c r="B24" s="64"/>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K23"/>
  <sheetViews>
    <sheetView workbookViewId="0">
      <pane ySplit="8" topLeftCell="A9" activePane="bottomLeft" state="frozenSplit"/>
      <selection pane="bottomLeft" activeCell="A30" sqref="A30"/>
    </sheetView>
  </sheetViews>
  <sheetFormatPr defaultColWidth="9.1640625" defaultRowHeight="12.75" outlineLevelCol="1"/>
  <cols>
    <col min="1" max="1" width="45.1640625" customWidth="1"/>
    <col min="2" max="2" width="14.5" customWidth="1"/>
    <col min="3" max="3" width="3.16406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959</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357</v>
      </c>
      <c r="B11" s="1">
        <v>-27000</v>
      </c>
      <c r="D11" s="1">
        <v>-24118.6</v>
      </c>
      <c r="E11" s="1">
        <v>0</v>
      </c>
      <c r="F11" s="1">
        <f>D11+E11</f>
        <v>-24118.6</v>
      </c>
      <c r="G11" s="1">
        <v>-30000</v>
      </c>
      <c r="H11" s="1">
        <v>-28270</v>
      </c>
      <c r="I11" s="1">
        <v>-30360</v>
      </c>
      <c r="J11" s="12">
        <f>B11/G11</f>
        <v>0.9</v>
      </c>
    </row>
    <row r="12" spans="1:11">
      <c r="A12" s="11" t="s">
        <v>358</v>
      </c>
      <c r="B12" s="1">
        <v>-4500</v>
      </c>
      <c r="D12" s="1">
        <v>-4900</v>
      </c>
      <c r="E12" s="1">
        <v>0</v>
      </c>
      <c r="F12" s="1">
        <f t="shared" ref="F12:F19" si="0">D12+E12</f>
        <v>-4900</v>
      </c>
      <c r="G12" s="1">
        <v>-4000</v>
      </c>
      <c r="H12" s="1">
        <v>-6600</v>
      </c>
      <c r="I12" s="1">
        <v>-7349</v>
      </c>
      <c r="J12" s="12">
        <f>B12/G12</f>
        <v>1.125</v>
      </c>
    </row>
    <row r="13" spans="1:11">
      <c r="A13" s="11" t="s">
        <v>359</v>
      </c>
      <c r="B13" s="1">
        <v>120</v>
      </c>
      <c r="D13" s="35">
        <v>75.52</v>
      </c>
      <c r="E13" s="1">
        <v>37.76</v>
      </c>
      <c r="F13" s="1">
        <f t="shared" si="0"/>
        <v>113.28</v>
      </c>
      <c r="G13" s="1">
        <v>120</v>
      </c>
      <c r="H13" s="1">
        <v>113.28</v>
      </c>
      <c r="I13" s="1">
        <v>0.56000000000000005</v>
      </c>
      <c r="J13" s="12">
        <f t="shared" ref="J13:J21" si="1">B13/G13</f>
        <v>1</v>
      </c>
    </row>
    <row r="14" spans="1:11">
      <c r="A14" s="11" t="s">
        <v>360</v>
      </c>
      <c r="B14" s="1">
        <v>42000</v>
      </c>
      <c r="D14" s="35">
        <v>41514.03</v>
      </c>
      <c r="E14" s="1">
        <v>-107.24</v>
      </c>
      <c r="F14" s="1">
        <f t="shared" si="0"/>
        <v>41406.79</v>
      </c>
      <c r="G14" s="1">
        <v>42000</v>
      </c>
      <c r="H14" s="1">
        <v>41377.449999999997</v>
      </c>
      <c r="I14" s="1">
        <v>42390.43</v>
      </c>
      <c r="J14" s="12">
        <f t="shared" si="1"/>
        <v>1</v>
      </c>
    </row>
    <row r="15" spans="1:11">
      <c r="A15" s="11" t="s">
        <v>361</v>
      </c>
      <c r="B15" s="1">
        <v>1800</v>
      </c>
      <c r="D15" s="35">
        <v>1511.97</v>
      </c>
      <c r="E15" s="1">
        <v>0</v>
      </c>
      <c r="F15" s="1">
        <f t="shared" si="0"/>
        <v>1511.97</v>
      </c>
      <c r="G15" s="1">
        <v>4500</v>
      </c>
      <c r="H15" s="1">
        <v>4324.78</v>
      </c>
      <c r="I15" s="1">
        <v>4775.99</v>
      </c>
      <c r="J15" s="12">
        <f t="shared" si="1"/>
        <v>0.4</v>
      </c>
    </row>
    <row r="16" spans="1:11">
      <c r="A16" s="11" t="s">
        <v>362</v>
      </c>
      <c r="B16" s="1">
        <v>600</v>
      </c>
      <c r="D16" s="35">
        <v>47.6</v>
      </c>
      <c r="E16" s="1">
        <v>0</v>
      </c>
      <c r="F16" s="1">
        <f t="shared" si="0"/>
        <v>47.6</v>
      </c>
      <c r="G16" s="1">
        <v>600</v>
      </c>
      <c r="H16" s="1">
        <v>486.49</v>
      </c>
      <c r="I16" s="1">
        <v>585.53</v>
      </c>
      <c r="J16" s="12">
        <f t="shared" si="1"/>
        <v>1</v>
      </c>
    </row>
    <row r="17" spans="1:11">
      <c r="A17" s="11" t="s">
        <v>363</v>
      </c>
      <c r="B17" s="1">
        <v>4500</v>
      </c>
      <c r="D17" s="35">
        <v>3964.25</v>
      </c>
      <c r="E17" s="1">
        <v>698.2</v>
      </c>
      <c r="F17" s="1">
        <f t="shared" si="0"/>
        <v>4662.45</v>
      </c>
      <c r="G17" s="1">
        <v>4250</v>
      </c>
      <c r="H17" s="1">
        <v>3855.06</v>
      </c>
      <c r="I17" s="1">
        <v>4213.75</v>
      </c>
      <c r="J17" s="12">
        <f t="shared" si="1"/>
        <v>1.0588235294117647</v>
      </c>
    </row>
    <row r="18" spans="1:11">
      <c r="A18" s="11" t="s">
        <v>364</v>
      </c>
      <c r="B18" s="1">
        <v>400</v>
      </c>
      <c r="D18" s="35">
        <v>339.5</v>
      </c>
      <c r="E18" s="1">
        <v>38.659999999999997</v>
      </c>
      <c r="F18" s="1">
        <f t="shared" si="0"/>
        <v>378.15999999999997</v>
      </c>
      <c r="G18" s="1">
        <v>400</v>
      </c>
      <c r="H18" s="1">
        <v>303.13</v>
      </c>
      <c r="I18" s="1">
        <v>331.62</v>
      </c>
      <c r="J18" s="12">
        <f t="shared" si="1"/>
        <v>1</v>
      </c>
    </row>
    <row r="19" spans="1:11">
      <c r="A19" s="11" t="s">
        <v>365</v>
      </c>
      <c r="B19" s="1">
        <v>250</v>
      </c>
      <c r="D19" s="35">
        <v>242.69</v>
      </c>
      <c r="E19" s="1">
        <v>0</v>
      </c>
      <c r="F19" s="1">
        <f t="shared" si="0"/>
        <v>242.69</v>
      </c>
      <c r="J19" s="12"/>
    </row>
    <row r="20" spans="1:11">
      <c r="B20" s="13" t="s">
        <v>21</v>
      </c>
      <c r="D20" s="13" t="s">
        <v>21</v>
      </c>
      <c r="E20" s="13"/>
      <c r="F20" s="13" t="s">
        <v>21</v>
      </c>
      <c r="G20" s="13" t="s">
        <v>21</v>
      </c>
      <c r="H20" s="13" t="s">
        <v>21</v>
      </c>
      <c r="I20" s="13" t="s">
        <v>21</v>
      </c>
      <c r="J20" s="13" t="s">
        <v>21</v>
      </c>
    </row>
    <row r="21" spans="1:11">
      <c r="A21" s="11" t="s">
        <v>22</v>
      </c>
      <c r="B21" s="1">
        <f>SUM(B11:B19)</f>
        <v>18170</v>
      </c>
      <c r="C21" s="11"/>
      <c r="D21" s="1">
        <f>SUM(D11:D19)</f>
        <v>18676.96</v>
      </c>
      <c r="E21" s="1">
        <f>SUM(E11:E19)</f>
        <v>667.38</v>
      </c>
      <c r="F21" s="1">
        <f>SUM(F11:F19)</f>
        <v>19344.34</v>
      </c>
      <c r="G21" s="1">
        <v>17870</v>
      </c>
      <c r="H21" s="1">
        <v>15590.19</v>
      </c>
      <c r="I21" s="1">
        <v>14588.88</v>
      </c>
      <c r="J21" s="12">
        <f t="shared" si="1"/>
        <v>1.0167879127028538</v>
      </c>
      <c r="K21" s="11"/>
    </row>
    <row r="22" spans="1:11">
      <c r="B22" s="13" t="s">
        <v>21</v>
      </c>
      <c r="D22" s="13" t="s">
        <v>21</v>
      </c>
      <c r="E22" s="13"/>
      <c r="F22" s="13" t="s">
        <v>21</v>
      </c>
      <c r="G22" s="13" t="s">
        <v>21</v>
      </c>
      <c r="H22" s="13" t="s">
        <v>21</v>
      </c>
      <c r="I22" s="13" t="s">
        <v>21</v>
      </c>
      <c r="J22" s="13" t="s">
        <v>21</v>
      </c>
    </row>
    <row r="23" spans="1:11">
      <c r="B23" s="64"/>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N56"/>
  <sheetViews>
    <sheetView workbookViewId="0">
      <pane ySplit="8" topLeftCell="A15" activePane="bottomLeft" state="frozenSplit"/>
      <selection pane="bottomLeft" activeCell="B10" sqref="B10"/>
    </sheetView>
  </sheetViews>
  <sheetFormatPr defaultColWidth="9.1640625" defaultRowHeight="12.75" outlineLevelCol="1"/>
  <cols>
    <col min="1" max="1" width="55.5" customWidth="1"/>
    <col min="2" max="2" width="14.5" customWidth="1"/>
    <col min="3" max="3" width="3.832031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4" ht="15">
      <c r="A1" s="125" t="s">
        <v>0</v>
      </c>
      <c r="B1" s="125"/>
      <c r="C1" s="125"/>
      <c r="D1" s="125"/>
      <c r="E1" s="125"/>
      <c r="F1" s="125"/>
      <c r="G1" s="125"/>
      <c r="H1" s="125"/>
      <c r="I1" s="125"/>
      <c r="J1" s="125"/>
      <c r="K1" s="4"/>
    </row>
    <row r="2" spans="1:14">
      <c r="A2" s="126" t="s">
        <v>942</v>
      </c>
      <c r="B2" s="126"/>
      <c r="C2" s="126"/>
      <c r="D2" s="126"/>
      <c r="E2" s="126"/>
      <c r="F2" s="126"/>
      <c r="G2" s="126"/>
      <c r="H2" s="126"/>
      <c r="I2" s="126"/>
      <c r="J2" s="126"/>
      <c r="K2" s="8"/>
    </row>
    <row r="3" spans="1:14">
      <c r="A3" s="126" t="s">
        <v>765</v>
      </c>
      <c r="B3" s="126"/>
      <c r="C3" s="126"/>
      <c r="D3" s="126"/>
      <c r="E3" s="126"/>
      <c r="F3" s="126"/>
      <c r="G3" s="126"/>
      <c r="H3" s="126"/>
      <c r="I3" s="126"/>
      <c r="J3" s="126"/>
      <c r="K3" s="8"/>
    </row>
    <row r="5" spans="1:14">
      <c r="B5" s="9" t="s">
        <v>941</v>
      </c>
      <c r="D5" s="42" t="s">
        <v>1</v>
      </c>
      <c r="E5" s="41" t="s">
        <v>760</v>
      </c>
      <c r="F5" s="43" t="s">
        <v>2</v>
      </c>
      <c r="J5" s="46" t="s">
        <v>8</v>
      </c>
    </row>
    <row r="6" spans="1:14">
      <c r="B6" s="9" t="s">
        <v>3</v>
      </c>
      <c r="D6" s="42" t="s">
        <v>761</v>
      </c>
      <c r="E6" s="41" t="s">
        <v>759</v>
      </c>
      <c r="F6" s="43" t="s">
        <v>4</v>
      </c>
      <c r="G6" s="10" t="s">
        <v>4</v>
      </c>
      <c r="H6" s="10" t="s">
        <v>5</v>
      </c>
      <c r="I6" s="10" t="s">
        <v>6</v>
      </c>
      <c r="J6" s="10" t="s">
        <v>774</v>
      </c>
      <c r="K6" s="9" t="s">
        <v>7</v>
      </c>
    </row>
    <row r="7" spans="1:14">
      <c r="B7" s="9" t="s">
        <v>8</v>
      </c>
      <c r="D7" s="42" t="s">
        <v>4</v>
      </c>
      <c r="E7" s="41" t="s">
        <v>5</v>
      </c>
      <c r="F7" s="43" t="s">
        <v>9</v>
      </c>
      <c r="G7" s="10" t="s">
        <v>8</v>
      </c>
      <c r="H7" s="10" t="s">
        <v>9</v>
      </c>
      <c r="I7" s="10" t="s">
        <v>9</v>
      </c>
      <c r="J7" s="10" t="s">
        <v>775</v>
      </c>
    </row>
    <row r="10" spans="1:14">
      <c r="A10" s="11" t="s">
        <v>10</v>
      </c>
    </row>
    <row r="11" spans="1:14">
      <c r="A11" s="11" t="s">
        <v>23</v>
      </c>
      <c r="B11" s="1">
        <v>-500</v>
      </c>
      <c r="D11" s="1">
        <v>-249.94</v>
      </c>
      <c r="E11" s="1">
        <v>0</v>
      </c>
      <c r="F11" s="1">
        <f>D11+E11</f>
        <v>-249.94</v>
      </c>
      <c r="G11" s="1">
        <v>-650</v>
      </c>
      <c r="H11" s="1">
        <v>-441.96</v>
      </c>
      <c r="I11" s="1">
        <v>-507.88</v>
      </c>
      <c r="J11" s="12">
        <f>B11/G11</f>
        <v>0.76923076923076927</v>
      </c>
      <c r="M11">
        <v>1.4E-2</v>
      </c>
      <c r="N11">
        <v>0.01</v>
      </c>
    </row>
    <row r="12" spans="1:14">
      <c r="A12" s="11" t="s">
        <v>24</v>
      </c>
      <c r="B12" s="1">
        <f>(-2594300*M11+F12)+0.58</f>
        <v>-2630628</v>
      </c>
      <c r="D12" s="35">
        <v>-2544794.06</v>
      </c>
      <c r="E12" s="1">
        <v>-49514.32</v>
      </c>
      <c r="F12" s="1">
        <f t="shared" ref="F12:F49" si="0">D12+E12</f>
        <v>-2594308.38</v>
      </c>
      <c r="G12" s="1">
        <v>-2574810</v>
      </c>
      <c r="H12" s="1">
        <v>-2591860.81</v>
      </c>
      <c r="I12" s="1">
        <v>-2492884.0699999998</v>
      </c>
      <c r="J12" s="12">
        <f t="shared" ref="J12:J51" si="1">B12/G12</f>
        <v>1.0216784927819917</v>
      </c>
      <c r="M12">
        <f>F12*M11</f>
        <v>-36320.317320000002</v>
      </c>
      <c r="N12">
        <f>F12*N11</f>
        <v>-25943.0838</v>
      </c>
    </row>
    <row r="13" spans="1:14">
      <c r="A13" s="11" t="s">
        <v>25</v>
      </c>
      <c r="B13" s="38">
        <v>-52700</v>
      </c>
      <c r="C13" s="62" t="s">
        <v>935</v>
      </c>
      <c r="D13" s="35">
        <v>-50849.22</v>
      </c>
      <c r="E13" s="1">
        <v>-616.24</v>
      </c>
      <c r="F13" s="1">
        <f t="shared" si="0"/>
        <v>-51465.46</v>
      </c>
      <c r="G13" s="1">
        <v>-51350</v>
      </c>
      <c r="H13" s="1">
        <v>-50468.29</v>
      </c>
      <c r="I13" s="1">
        <v>-49510.28</v>
      </c>
      <c r="J13" s="12">
        <f t="shared" si="1"/>
        <v>1.0262901655306718</v>
      </c>
    </row>
    <row r="14" spans="1:14">
      <c r="A14" s="11" t="s">
        <v>26</v>
      </c>
      <c r="B14" s="104">
        <v>-14970</v>
      </c>
      <c r="D14" s="35">
        <v>-14619.48</v>
      </c>
      <c r="E14" s="1">
        <v>0</v>
      </c>
      <c r="F14" s="1">
        <f t="shared" si="0"/>
        <v>-14619.48</v>
      </c>
      <c r="G14" s="1">
        <v>-13620</v>
      </c>
      <c r="H14" s="1">
        <v>-13226.89</v>
      </c>
      <c r="I14" s="1">
        <v>-13047.97</v>
      </c>
      <c r="J14" s="12">
        <f t="shared" si="1"/>
        <v>1.0991189427312775</v>
      </c>
    </row>
    <row r="15" spans="1:14">
      <c r="A15" s="11" t="s">
        <v>27</v>
      </c>
      <c r="B15" s="104">
        <v>-40365</v>
      </c>
      <c r="D15" s="35">
        <v>-39419</v>
      </c>
      <c r="E15" s="1">
        <v>0</v>
      </c>
      <c r="F15" s="1">
        <f t="shared" si="0"/>
        <v>-39419</v>
      </c>
      <c r="G15" s="1">
        <v>-60100</v>
      </c>
      <c r="H15" s="1">
        <v>-58357</v>
      </c>
      <c r="I15" s="1">
        <v>-50387</v>
      </c>
      <c r="J15" s="12">
        <f t="shared" si="1"/>
        <v>0.671630615640599</v>
      </c>
    </row>
    <row r="16" spans="1:14">
      <c r="A16" s="11" t="s">
        <v>28</v>
      </c>
      <c r="B16" s="38">
        <v>-19300</v>
      </c>
      <c r="C16" s="62" t="s">
        <v>935</v>
      </c>
      <c r="D16" s="35">
        <v>-18920.13</v>
      </c>
      <c r="E16" s="1">
        <v>0</v>
      </c>
      <c r="F16" s="1">
        <f t="shared" si="0"/>
        <v>-18920.13</v>
      </c>
      <c r="J16" s="12"/>
      <c r="L16" t="s">
        <v>847</v>
      </c>
    </row>
    <row r="17" spans="1:10">
      <c r="A17" s="11" t="s">
        <v>29</v>
      </c>
      <c r="B17" s="1">
        <v>0</v>
      </c>
      <c r="D17" s="35">
        <v>0</v>
      </c>
      <c r="E17" s="1">
        <v>0</v>
      </c>
      <c r="F17" s="1">
        <f t="shared" si="0"/>
        <v>0</v>
      </c>
      <c r="I17" s="1">
        <v>-915.24</v>
      </c>
      <c r="J17" s="12"/>
    </row>
    <row r="18" spans="1:10">
      <c r="A18" s="11" t="s">
        <v>30</v>
      </c>
      <c r="B18" s="1">
        <v>-10800</v>
      </c>
      <c r="D18" s="35">
        <v>-5779.66</v>
      </c>
      <c r="E18" s="1">
        <v>-4848.7700000000004</v>
      </c>
      <c r="F18" s="1">
        <f t="shared" si="0"/>
        <v>-10628.43</v>
      </c>
      <c r="G18" s="1">
        <v>-15000</v>
      </c>
      <c r="H18" s="1">
        <v>-14900.21</v>
      </c>
      <c r="I18" s="1">
        <v>-12773.03</v>
      </c>
      <c r="J18" s="12">
        <f t="shared" si="1"/>
        <v>0.72</v>
      </c>
    </row>
    <row r="19" spans="1:10">
      <c r="A19" s="11" t="s">
        <v>31</v>
      </c>
      <c r="B19" s="1">
        <v>-125000</v>
      </c>
      <c r="E19" s="1">
        <v>-141608.88</v>
      </c>
      <c r="F19" s="1">
        <f t="shared" si="0"/>
        <v>-141608.88</v>
      </c>
      <c r="G19" s="1">
        <v>-145000</v>
      </c>
      <c r="H19" s="1">
        <v>-141608.88</v>
      </c>
      <c r="I19" s="1">
        <v>-228546.92</v>
      </c>
      <c r="J19" s="12">
        <f t="shared" si="1"/>
        <v>0.86206896551724133</v>
      </c>
    </row>
    <row r="20" spans="1:10">
      <c r="A20" s="11" t="s">
        <v>32</v>
      </c>
      <c r="B20" s="1">
        <v>-5000</v>
      </c>
      <c r="D20" s="35">
        <v>-2794.81</v>
      </c>
      <c r="E20" s="1">
        <v>-2480.0500000000002</v>
      </c>
      <c r="F20" s="1">
        <f t="shared" si="0"/>
        <v>-5274.8600000000006</v>
      </c>
      <c r="G20" s="1">
        <v>-5000</v>
      </c>
      <c r="H20" s="1">
        <v>-2953.91</v>
      </c>
      <c r="I20" s="1">
        <v>-11651.4</v>
      </c>
      <c r="J20" s="12">
        <f t="shared" si="1"/>
        <v>1</v>
      </c>
    </row>
    <row r="21" spans="1:10">
      <c r="A21" s="11" t="s">
        <v>33</v>
      </c>
      <c r="B21" s="1">
        <v>8500</v>
      </c>
      <c r="D21" s="35">
        <v>4444.45</v>
      </c>
      <c r="E21" s="1">
        <f>3984.03*1.1</f>
        <v>4382.4330000000009</v>
      </c>
      <c r="F21" s="1">
        <f t="shared" si="0"/>
        <v>8826.8830000000016</v>
      </c>
      <c r="G21" s="1">
        <v>9000</v>
      </c>
      <c r="H21" s="1">
        <v>8694.91</v>
      </c>
      <c r="I21" s="1">
        <v>10560.49</v>
      </c>
      <c r="J21" s="12">
        <f t="shared" si="1"/>
        <v>0.94444444444444442</v>
      </c>
    </row>
    <row r="22" spans="1:10">
      <c r="A22" s="11" t="s">
        <v>34</v>
      </c>
      <c r="B22" s="1">
        <v>3500</v>
      </c>
      <c r="D22" s="35">
        <v>612.63</v>
      </c>
      <c r="E22" s="1">
        <f>1416.87*1.1</f>
        <v>1558.557</v>
      </c>
      <c r="F22" s="1">
        <f t="shared" si="0"/>
        <v>2171.1869999999999</v>
      </c>
      <c r="G22" s="1">
        <v>4500</v>
      </c>
      <c r="H22" s="1">
        <v>4877.28</v>
      </c>
      <c r="I22" s="1">
        <v>2970.01</v>
      </c>
      <c r="J22" s="12">
        <f t="shared" si="1"/>
        <v>0.77777777777777779</v>
      </c>
    </row>
    <row r="23" spans="1:10">
      <c r="A23" s="11" t="s">
        <v>35</v>
      </c>
      <c r="B23" s="1">
        <v>2000</v>
      </c>
      <c r="D23" s="35">
        <v>522.5</v>
      </c>
      <c r="E23" s="1">
        <f>1033.89*1.1</f>
        <v>1137.2790000000002</v>
      </c>
      <c r="F23" s="1">
        <f t="shared" si="0"/>
        <v>1659.7790000000002</v>
      </c>
      <c r="G23" s="1">
        <v>4000</v>
      </c>
      <c r="H23" s="1">
        <v>1703.15</v>
      </c>
      <c r="I23" s="1">
        <v>3073.56</v>
      </c>
      <c r="J23" s="12">
        <f t="shared" si="1"/>
        <v>0.5</v>
      </c>
    </row>
    <row r="24" spans="1:10">
      <c r="A24" s="11" t="s">
        <v>36</v>
      </c>
      <c r="B24" s="1">
        <v>10500</v>
      </c>
      <c r="D24" s="35">
        <v>6756.45</v>
      </c>
      <c r="E24" s="1">
        <f>3064.11*1.1</f>
        <v>3370.5210000000002</v>
      </c>
      <c r="F24" s="1">
        <f t="shared" si="0"/>
        <v>10126.971</v>
      </c>
      <c r="G24" s="1">
        <v>12500</v>
      </c>
      <c r="H24" s="1">
        <v>10597.84</v>
      </c>
      <c r="I24" s="1">
        <v>11346.24</v>
      </c>
      <c r="J24" s="12">
        <f t="shared" si="1"/>
        <v>0.84</v>
      </c>
    </row>
    <row r="25" spans="1:10">
      <c r="A25" s="11" t="s">
        <v>37</v>
      </c>
      <c r="B25" s="1">
        <v>2000</v>
      </c>
      <c r="D25" s="35">
        <v>1788.88</v>
      </c>
      <c r="E25" s="1">
        <f>147.65*1.1</f>
        <v>162.41500000000002</v>
      </c>
      <c r="F25" s="1">
        <f t="shared" si="0"/>
        <v>1951.2950000000001</v>
      </c>
      <c r="G25" s="1">
        <v>3000</v>
      </c>
      <c r="H25" s="1">
        <v>1681.61</v>
      </c>
      <c r="I25" s="1">
        <v>1347.46</v>
      </c>
      <c r="J25" s="12">
        <f t="shared" si="1"/>
        <v>0.66666666666666663</v>
      </c>
    </row>
    <row r="26" spans="1:10">
      <c r="A26" s="11" t="s">
        <v>38</v>
      </c>
      <c r="B26" s="1">
        <v>50000</v>
      </c>
      <c r="D26" s="35">
        <v>34535.870000000003</v>
      </c>
      <c r="E26" s="56">
        <f>9961.18*1.1</f>
        <v>10957.298000000001</v>
      </c>
      <c r="F26" s="1">
        <f t="shared" si="0"/>
        <v>45493.168000000005</v>
      </c>
      <c r="G26" s="1">
        <v>30000</v>
      </c>
      <c r="H26" s="1">
        <v>16497.919999999998</v>
      </c>
      <c r="I26" s="1">
        <v>9686.81</v>
      </c>
      <c r="J26" s="12">
        <f t="shared" si="1"/>
        <v>1.6666666666666667</v>
      </c>
    </row>
    <row r="27" spans="1:10">
      <c r="A27" s="11" t="s">
        <v>39</v>
      </c>
      <c r="B27" s="1">
        <v>70000</v>
      </c>
      <c r="D27" s="35">
        <v>45419.839999999997</v>
      </c>
      <c r="E27" s="1">
        <f>22252.42*1.1</f>
        <v>24477.662</v>
      </c>
      <c r="F27" s="1">
        <f t="shared" si="0"/>
        <v>69897.501999999993</v>
      </c>
      <c r="G27" s="1">
        <v>64000</v>
      </c>
      <c r="H27" s="1">
        <v>65842.02</v>
      </c>
      <c r="I27" s="1">
        <v>61940.23</v>
      </c>
      <c r="J27" s="12">
        <f t="shared" si="1"/>
        <v>1.09375</v>
      </c>
    </row>
    <row r="28" spans="1:10">
      <c r="A28" s="11" t="s">
        <v>40</v>
      </c>
      <c r="B28" s="1">
        <v>2000</v>
      </c>
      <c r="D28" s="35">
        <v>1055.72</v>
      </c>
      <c r="E28" s="1">
        <f>1055.72*0.45</f>
        <v>475.07400000000001</v>
      </c>
      <c r="F28" s="1">
        <f t="shared" si="0"/>
        <v>1530.7940000000001</v>
      </c>
      <c r="G28" s="1">
        <v>4000</v>
      </c>
      <c r="H28" s="1">
        <v>1987.43</v>
      </c>
      <c r="I28" s="1">
        <v>2447.7399999999998</v>
      </c>
      <c r="J28" s="12">
        <f t="shared" si="1"/>
        <v>0.5</v>
      </c>
    </row>
    <row r="29" spans="1:10">
      <c r="A29" s="11" t="s">
        <v>41</v>
      </c>
      <c r="B29" s="1">
        <v>1500</v>
      </c>
      <c r="D29" s="35">
        <v>1333.02</v>
      </c>
      <c r="E29" s="1">
        <v>0</v>
      </c>
      <c r="F29" s="1">
        <f t="shared" si="0"/>
        <v>1333.02</v>
      </c>
      <c r="G29" s="1">
        <v>4000</v>
      </c>
      <c r="I29" s="1">
        <v>2773.26</v>
      </c>
      <c r="J29" s="12">
        <f t="shared" si="1"/>
        <v>0.375</v>
      </c>
    </row>
    <row r="30" spans="1:10">
      <c r="A30" s="11" t="s">
        <v>42</v>
      </c>
      <c r="B30" s="1">
        <v>1600</v>
      </c>
      <c r="E30" s="1">
        <f>399+1201</f>
        <v>1600</v>
      </c>
      <c r="F30" s="1">
        <f t="shared" si="0"/>
        <v>1600</v>
      </c>
      <c r="G30" s="1">
        <v>2000</v>
      </c>
      <c r="H30" s="1">
        <v>1599</v>
      </c>
      <c r="I30" s="1">
        <v>779</v>
      </c>
      <c r="J30" s="12">
        <f t="shared" si="1"/>
        <v>0.8</v>
      </c>
    </row>
    <row r="31" spans="1:10">
      <c r="A31" s="11" t="s">
        <v>43</v>
      </c>
      <c r="B31" s="1">
        <v>7500</v>
      </c>
      <c r="D31" s="35">
        <v>3297.41</v>
      </c>
      <c r="E31" s="1">
        <f>4385.61*1.1</f>
        <v>4824.1710000000003</v>
      </c>
      <c r="F31" s="1">
        <f t="shared" si="0"/>
        <v>8121.5810000000001</v>
      </c>
      <c r="G31" s="1">
        <v>6000</v>
      </c>
      <c r="H31" s="1">
        <v>6506.55</v>
      </c>
      <c r="I31" s="1">
        <v>5803.74</v>
      </c>
      <c r="J31" s="12">
        <f t="shared" si="1"/>
        <v>1.25</v>
      </c>
    </row>
    <row r="32" spans="1:10">
      <c r="A32" s="11" t="s">
        <v>44</v>
      </c>
      <c r="B32" s="1">
        <v>9500</v>
      </c>
      <c r="D32" s="35">
        <v>5310.68</v>
      </c>
      <c r="E32" s="1">
        <f>3823.34*1.1</f>
        <v>4205.6740000000009</v>
      </c>
      <c r="F32" s="1">
        <f t="shared" si="0"/>
        <v>9516.3540000000012</v>
      </c>
      <c r="G32" s="1">
        <v>5500</v>
      </c>
      <c r="H32" s="1">
        <v>8337.93</v>
      </c>
      <c r="I32" s="1">
        <v>9690.0400000000009</v>
      </c>
      <c r="J32" s="12">
        <f t="shared" si="1"/>
        <v>1.7272727272727273</v>
      </c>
    </row>
    <row r="33" spans="1:10">
      <c r="A33" s="11" t="s">
        <v>45</v>
      </c>
      <c r="B33" s="1">
        <v>1000</v>
      </c>
      <c r="D33" s="35">
        <v>1030.67</v>
      </c>
      <c r="E33" s="1">
        <f>30*1.1</f>
        <v>33</v>
      </c>
      <c r="F33" s="1">
        <f t="shared" si="0"/>
        <v>1063.67</v>
      </c>
      <c r="G33" s="1">
        <v>1000</v>
      </c>
      <c r="H33" s="1">
        <v>295.58</v>
      </c>
      <c r="I33" s="1">
        <v>986.49</v>
      </c>
      <c r="J33" s="12">
        <f t="shared" si="1"/>
        <v>1</v>
      </c>
    </row>
    <row r="34" spans="1:10">
      <c r="A34" s="11" t="s">
        <v>46</v>
      </c>
      <c r="B34" s="1">
        <v>600</v>
      </c>
      <c r="D34" s="35"/>
      <c r="E34" s="1">
        <f>0.22-0.22</f>
        <v>0</v>
      </c>
      <c r="F34" s="1">
        <f t="shared" si="0"/>
        <v>0</v>
      </c>
      <c r="G34" s="1">
        <v>1200</v>
      </c>
      <c r="H34" s="1">
        <v>0.22</v>
      </c>
      <c r="J34" s="12">
        <f t="shared" si="1"/>
        <v>0.5</v>
      </c>
    </row>
    <row r="35" spans="1:10">
      <c r="A35" s="11" t="s">
        <v>47</v>
      </c>
      <c r="B35" s="38">
        <f>-(B13+B16)</f>
        <v>72000</v>
      </c>
      <c r="C35" s="62" t="s">
        <v>935</v>
      </c>
      <c r="D35" s="35">
        <v>69138.929999999993</v>
      </c>
      <c r="E35" s="1">
        <v>0</v>
      </c>
      <c r="F35" s="1">
        <f t="shared" si="0"/>
        <v>69138.929999999993</v>
      </c>
      <c r="G35" s="1">
        <v>51350</v>
      </c>
      <c r="H35" s="1">
        <v>50512.639999999999</v>
      </c>
      <c r="I35" s="1">
        <v>49220.06</v>
      </c>
      <c r="J35" s="12">
        <f t="shared" si="1"/>
        <v>1.4021421616358325</v>
      </c>
    </row>
    <row r="36" spans="1:10">
      <c r="A36" s="11" t="s">
        <v>48</v>
      </c>
      <c r="B36" s="1">
        <f>-B15</f>
        <v>40365</v>
      </c>
      <c r="D36" s="35">
        <v>39421</v>
      </c>
      <c r="E36" s="1">
        <v>0</v>
      </c>
      <c r="F36" s="1">
        <f t="shared" si="0"/>
        <v>39421</v>
      </c>
      <c r="G36" s="1">
        <v>60100</v>
      </c>
      <c r="H36" s="1">
        <v>58357</v>
      </c>
      <c r="I36" s="1">
        <v>50387</v>
      </c>
      <c r="J36" s="12">
        <f t="shared" si="1"/>
        <v>0.671630615640599</v>
      </c>
    </row>
    <row r="37" spans="1:10">
      <c r="A37" s="11" t="s">
        <v>49</v>
      </c>
      <c r="B37" s="1">
        <v>50000</v>
      </c>
      <c r="D37" s="35">
        <v>9161.3799999999992</v>
      </c>
      <c r="E37" s="56">
        <f>21382.03*1.1</f>
        <v>23520.233</v>
      </c>
      <c r="F37" s="1">
        <f t="shared" si="0"/>
        <v>32681.612999999998</v>
      </c>
      <c r="G37" s="1">
        <v>45000</v>
      </c>
      <c r="H37" s="1">
        <v>52996.87</v>
      </c>
      <c r="I37" s="1">
        <v>32906.03</v>
      </c>
      <c r="J37" s="12">
        <f t="shared" si="1"/>
        <v>1.1111111111111112</v>
      </c>
    </row>
    <row r="38" spans="1:10">
      <c r="A38" s="11" t="s">
        <v>50</v>
      </c>
      <c r="B38" s="1">
        <v>3500</v>
      </c>
      <c r="E38" s="1">
        <v>0</v>
      </c>
      <c r="F38" s="1">
        <f t="shared" si="0"/>
        <v>0</v>
      </c>
      <c r="G38" s="1">
        <v>4500</v>
      </c>
      <c r="I38" s="1">
        <v>225</v>
      </c>
      <c r="J38" s="12">
        <f t="shared" si="1"/>
        <v>0.77777777777777779</v>
      </c>
    </row>
    <row r="39" spans="1:10">
      <c r="A39" s="11" t="s">
        <v>51</v>
      </c>
      <c r="B39" s="1">
        <v>2400</v>
      </c>
      <c r="D39" s="1">
        <v>850</v>
      </c>
      <c r="E39" s="1">
        <v>1200</v>
      </c>
      <c r="F39" s="1">
        <f t="shared" si="0"/>
        <v>2050</v>
      </c>
      <c r="G39" s="1">
        <v>3500</v>
      </c>
      <c r="H39" s="1">
        <v>1652.87</v>
      </c>
      <c r="I39" s="1">
        <v>2352.16</v>
      </c>
      <c r="J39" s="12">
        <f t="shared" si="1"/>
        <v>0.68571428571428572</v>
      </c>
    </row>
    <row r="40" spans="1:10">
      <c r="A40" s="11" t="s">
        <v>52</v>
      </c>
      <c r="B40" s="1">
        <v>1800</v>
      </c>
      <c r="D40" s="35">
        <v>1512.09</v>
      </c>
      <c r="E40" s="1">
        <v>95.39</v>
      </c>
      <c r="F40" s="1">
        <f t="shared" si="0"/>
        <v>1607.48</v>
      </c>
      <c r="G40" s="1">
        <v>2000</v>
      </c>
      <c r="H40" s="1">
        <v>133.41</v>
      </c>
      <c r="I40" s="1">
        <v>2137.8200000000002</v>
      </c>
      <c r="J40" s="12">
        <f t="shared" si="1"/>
        <v>0.9</v>
      </c>
    </row>
    <row r="41" spans="1:10">
      <c r="A41" s="11" t="s">
        <v>53</v>
      </c>
      <c r="B41" s="1">
        <v>505000</v>
      </c>
      <c r="D41" s="35">
        <v>321632.90999999997</v>
      </c>
      <c r="E41" s="1">
        <f>154035.61*1.1</f>
        <v>169439.171</v>
      </c>
      <c r="F41" s="1">
        <f t="shared" si="0"/>
        <v>491072.08100000001</v>
      </c>
      <c r="G41" s="1">
        <v>535000</v>
      </c>
      <c r="H41" s="1">
        <v>490392.08</v>
      </c>
      <c r="I41" s="1">
        <v>468996.2</v>
      </c>
      <c r="J41" s="12">
        <f t="shared" si="1"/>
        <v>0.94392523364485981</v>
      </c>
    </row>
    <row r="42" spans="1:10">
      <c r="A42" s="11" t="s">
        <v>54</v>
      </c>
      <c r="B42" s="1">
        <v>43000</v>
      </c>
      <c r="D42" s="35">
        <v>24535.29</v>
      </c>
      <c r="E42" s="1">
        <f>15846.1*1.1</f>
        <v>17430.710000000003</v>
      </c>
      <c r="F42" s="1">
        <f t="shared" si="0"/>
        <v>41966</v>
      </c>
      <c r="G42" s="1">
        <v>45000</v>
      </c>
      <c r="H42" s="1">
        <v>41488.39</v>
      </c>
      <c r="I42" s="1">
        <v>41156.31</v>
      </c>
      <c r="J42" s="12">
        <f t="shared" si="1"/>
        <v>0.9555555555555556</v>
      </c>
    </row>
    <row r="43" spans="1:10">
      <c r="A43" s="11" t="s">
        <v>55</v>
      </c>
      <c r="B43" s="1">
        <v>40000</v>
      </c>
      <c r="D43" s="35"/>
      <c r="E43" s="1">
        <f>37350.25*1.1</f>
        <v>41085.275000000001</v>
      </c>
      <c r="F43" s="1">
        <f t="shared" si="0"/>
        <v>41085.275000000001</v>
      </c>
      <c r="G43" s="1">
        <v>42000</v>
      </c>
      <c r="H43" s="1">
        <v>37350.25</v>
      </c>
      <c r="I43" s="1">
        <v>42092.5</v>
      </c>
      <c r="J43" s="12">
        <f t="shared" si="1"/>
        <v>0.95238095238095233</v>
      </c>
    </row>
    <row r="44" spans="1:10">
      <c r="A44" s="11" t="s">
        <v>56</v>
      </c>
      <c r="B44" s="1">
        <v>12000</v>
      </c>
      <c r="D44" s="35">
        <v>6232.5</v>
      </c>
      <c r="E44" s="1">
        <f>5000*1.1</f>
        <v>5500</v>
      </c>
      <c r="F44" s="1">
        <f t="shared" si="0"/>
        <v>11732.5</v>
      </c>
      <c r="G44" s="1">
        <v>18000</v>
      </c>
      <c r="H44" s="1">
        <v>21715.53</v>
      </c>
      <c r="I44" s="1">
        <v>2554.81</v>
      </c>
      <c r="J44" s="12">
        <f t="shared" si="1"/>
        <v>0.66666666666666663</v>
      </c>
    </row>
    <row r="45" spans="1:10">
      <c r="A45" s="11" t="s">
        <v>57</v>
      </c>
      <c r="B45" s="1">
        <v>12500</v>
      </c>
      <c r="D45" s="35">
        <v>8792.31</v>
      </c>
      <c r="E45" s="1">
        <v>4270.4799999999996</v>
      </c>
      <c r="F45" s="1">
        <f t="shared" si="0"/>
        <v>13062.789999999999</v>
      </c>
      <c r="G45" s="1">
        <v>10000</v>
      </c>
      <c r="H45" s="1">
        <v>10931.98</v>
      </c>
      <c r="I45" s="1">
        <v>12714.19</v>
      </c>
      <c r="J45" s="12">
        <f t="shared" si="1"/>
        <v>1.25</v>
      </c>
    </row>
    <row r="46" spans="1:10">
      <c r="A46" s="11" t="s">
        <v>58</v>
      </c>
      <c r="B46" s="1">
        <v>0</v>
      </c>
      <c r="D46" s="35">
        <v>-1244.77</v>
      </c>
      <c r="E46" s="1">
        <v>-364.65</v>
      </c>
      <c r="F46" s="1">
        <f t="shared" si="0"/>
        <v>-1609.42</v>
      </c>
      <c r="H46" s="1">
        <v>591.26</v>
      </c>
      <c r="I46" s="1">
        <v>328.06</v>
      </c>
      <c r="J46" s="12"/>
    </row>
    <row r="47" spans="1:10">
      <c r="A47" s="11" t="s">
        <v>59</v>
      </c>
      <c r="B47" s="1">
        <v>-44500</v>
      </c>
      <c r="D47" s="35"/>
      <c r="E47" s="1">
        <v>-44500</v>
      </c>
      <c r="F47" s="1">
        <f t="shared" si="0"/>
        <v>-44500</v>
      </c>
      <c r="G47" s="1">
        <v>-44500</v>
      </c>
      <c r="H47" s="1">
        <v>-44500</v>
      </c>
      <c r="I47" s="1">
        <v>-44500</v>
      </c>
      <c r="J47" s="12">
        <f t="shared" si="1"/>
        <v>1</v>
      </c>
    </row>
    <row r="48" spans="1:10">
      <c r="A48" s="11" t="s">
        <v>60</v>
      </c>
      <c r="B48" s="111">
        <v>28150</v>
      </c>
      <c r="D48" s="35">
        <v>26483.1</v>
      </c>
      <c r="E48" s="1">
        <f>15814.98+10000</f>
        <v>25814.98</v>
      </c>
      <c r="F48" s="1">
        <f t="shared" si="0"/>
        <v>52298.080000000002</v>
      </c>
      <c r="G48" s="1">
        <v>47340</v>
      </c>
      <c r="H48" s="1">
        <v>44569.03</v>
      </c>
      <c r="I48" s="1">
        <v>46273.73</v>
      </c>
      <c r="J48" s="12">
        <f t="shared" si="1"/>
        <v>0.59463455851288549</v>
      </c>
    </row>
    <row r="49" spans="1:11">
      <c r="A49" s="11" t="s">
        <v>61</v>
      </c>
      <c r="B49" s="1">
        <v>0</v>
      </c>
      <c r="D49" s="35">
        <v>324.87</v>
      </c>
      <c r="E49" s="1">
        <v>156.62</v>
      </c>
      <c r="F49" s="1">
        <f t="shared" si="0"/>
        <v>481.49</v>
      </c>
      <c r="H49" s="1">
        <v>156.62</v>
      </c>
      <c r="I49" s="1">
        <v>1029.67</v>
      </c>
      <c r="J49" s="12"/>
    </row>
    <row r="50" spans="1:11">
      <c r="B50" s="13" t="s">
        <v>21</v>
      </c>
      <c r="D50" s="13" t="s">
        <v>21</v>
      </c>
      <c r="E50" s="13"/>
      <c r="F50" s="13" t="s">
        <v>21</v>
      </c>
      <c r="G50" s="13" t="s">
        <v>21</v>
      </c>
      <c r="H50" s="13" t="s">
        <v>21</v>
      </c>
      <c r="I50" s="13" t="s">
        <v>21</v>
      </c>
      <c r="J50" s="13" t="s">
        <v>21</v>
      </c>
    </row>
    <row r="51" spans="1:11">
      <c r="A51" s="11" t="s">
        <v>22</v>
      </c>
      <c r="B51" s="1">
        <f>SUM(B11:B49)</f>
        <v>-1962848</v>
      </c>
      <c r="C51" s="11"/>
      <c r="D51" s="1">
        <f>SUM(D11:D49)</f>
        <v>-2064478.5699999994</v>
      </c>
      <c r="E51" s="1">
        <f>SUM(E11:E49)</f>
        <v>101764.03300000002</v>
      </c>
      <c r="F51" s="1">
        <f>SUM(F11:F49)</f>
        <v>-1962714.537</v>
      </c>
      <c r="G51" s="1">
        <v>-1895540</v>
      </c>
      <c r="H51" s="1">
        <v>-1978848.58</v>
      </c>
      <c r="I51" s="1">
        <v>-2028945.18</v>
      </c>
      <c r="J51" s="12">
        <f t="shared" si="1"/>
        <v>1.0355086149593256</v>
      </c>
      <c r="K51" s="11"/>
    </row>
    <row r="52" spans="1:11">
      <c r="B52" s="13" t="s">
        <v>21</v>
      </c>
      <c r="D52" s="13" t="s">
        <v>21</v>
      </c>
      <c r="E52" s="13"/>
      <c r="F52" s="13" t="s">
        <v>21</v>
      </c>
      <c r="G52" s="13" t="s">
        <v>21</v>
      </c>
      <c r="H52" s="13" t="s">
        <v>21</v>
      </c>
      <c r="I52" s="13" t="s">
        <v>21</v>
      </c>
      <c r="J52" s="13" t="s">
        <v>21</v>
      </c>
    </row>
    <row r="53" spans="1:11">
      <c r="B53" s="62"/>
    </row>
    <row r="56" spans="1:11">
      <c r="A56" t="s">
        <v>796</v>
      </c>
    </row>
  </sheetData>
  <mergeCells count="3">
    <mergeCell ref="A1:J1"/>
    <mergeCell ref="A2:J2"/>
    <mergeCell ref="A3:J3"/>
  </mergeCells>
  <phoneticPr fontId="0" type="noConversion"/>
  <pageMargins left="0.75" right="0.75" top="0.75" bottom="0.75"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K21"/>
  <sheetViews>
    <sheetView workbookViewId="0">
      <pane ySplit="8" topLeftCell="A9" activePane="bottomLeft" state="frozenSplit"/>
      <selection pane="bottomLeft" activeCell="B29" sqref="B29"/>
    </sheetView>
  </sheetViews>
  <sheetFormatPr defaultColWidth="9.1640625" defaultRowHeight="12.75" outlineLevelCol="1"/>
  <cols>
    <col min="1" max="1" width="40.83203125" customWidth="1"/>
    <col min="2" max="2" width="14.5" customWidth="1"/>
    <col min="3" max="3" width="3.332031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960</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5" t="s">
        <v>762</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4</v>
      </c>
      <c r="F7" s="43" t="s">
        <v>9</v>
      </c>
      <c r="G7" s="10" t="s">
        <v>8</v>
      </c>
      <c r="H7" s="10" t="s">
        <v>9</v>
      </c>
      <c r="I7" s="10" t="s">
        <v>9</v>
      </c>
      <c r="J7" s="10" t="s">
        <v>775</v>
      </c>
    </row>
    <row r="10" spans="1:11">
      <c r="A10" s="11" t="s">
        <v>10</v>
      </c>
    </row>
    <row r="11" spans="1:11">
      <c r="A11" s="11" t="s">
        <v>366</v>
      </c>
      <c r="B11" s="1">
        <v>60</v>
      </c>
      <c r="E11" s="1">
        <v>30</v>
      </c>
      <c r="F11" s="1">
        <f>D11+E11</f>
        <v>30</v>
      </c>
      <c r="G11" s="1">
        <v>60</v>
      </c>
      <c r="J11" s="12">
        <f>B11/G11</f>
        <v>1</v>
      </c>
    </row>
    <row r="12" spans="1:11">
      <c r="A12" s="11" t="s">
        <v>367</v>
      </c>
      <c r="B12" s="1">
        <v>60</v>
      </c>
      <c r="E12" s="1">
        <v>60</v>
      </c>
      <c r="F12" s="1">
        <f t="shared" ref="F12:F17" si="0">D12+E12</f>
        <v>60</v>
      </c>
      <c r="G12" s="1">
        <v>60</v>
      </c>
      <c r="J12" s="12">
        <f>B12/G12</f>
        <v>1</v>
      </c>
    </row>
    <row r="13" spans="1:11">
      <c r="A13" s="11" t="s">
        <v>368</v>
      </c>
      <c r="B13" s="1">
        <v>2500</v>
      </c>
      <c r="D13" s="35">
        <v>533.01</v>
      </c>
      <c r="E13" s="1">
        <f>D13/8*4</f>
        <v>266.505</v>
      </c>
      <c r="F13" s="1">
        <f t="shared" si="0"/>
        <v>799.51499999999999</v>
      </c>
      <c r="G13" s="1">
        <v>2000</v>
      </c>
      <c r="J13" s="12">
        <f t="shared" ref="J13:J19" si="1">B13/G13</f>
        <v>1.25</v>
      </c>
    </row>
    <row r="14" spans="1:11">
      <c r="A14" s="11" t="s">
        <v>369</v>
      </c>
      <c r="B14" s="1">
        <v>2000</v>
      </c>
      <c r="D14" s="35">
        <v>1113.4000000000001</v>
      </c>
      <c r="E14" s="1">
        <f>D14/8*4</f>
        <v>556.70000000000005</v>
      </c>
      <c r="F14" s="1">
        <f t="shared" si="0"/>
        <v>1670.1000000000001</v>
      </c>
      <c r="G14" s="1">
        <v>2000</v>
      </c>
      <c r="J14" s="12">
        <f t="shared" si="1"/>
        <v>1</v>
      </c>
    </row>
    <row r="15" spans="1:11">
      <c r="A15" s="11" t="s">
        <v>370</v>
      </c>
      <c r="B15" s="1">
        <v>500</v>
      </c>
      <c r="D15" s="35">
        <v>175.74</v>
      </c>
      <c r="E15" s="1">
        <f>D15/8*4</f>
        <v>87.87</v>
      </c>
      <c r="F15" s="1">
        <f t="shared" si="0"/>
        <v>263.61</v>
      </c>
      <c r="G15" s="1">
        <v>500</v>
      </c>
      <c r="J15" s="12">
        <f t="shared" si="1"/>
        <v>1</v>
      </c>
    </row>
    <row r="16" spans="1:11">
      <c r="A16" s="11" t="s">
        <v>371</v>
      </c>
      <c r="B16" s="1">
        <v>6600</v>
      </c>
      <c r="D16" s="35">
        <v>5017.6099999999997</v>
      </c>
      <c r="E16" s="1">
        <f>D16/8*4</f>
        <v>2508.8049999999998</v>
      </c>
      <c r="F16" s="1">
        <f t="shared" si="0"/>
        <v>7526.4149999999991</v>
      </c>
      <c r="G16" s="1">
        <v>6600</v>
      </c>
      <c r="J16" s="12">
        <f t="shared" si="1"/>
        <v>1</v>
      </c>
    </row>
    <row r="17" spans="1:11">
      <c r="A17" s="11" t="s">
        <v>372</v>
      </c>
      <c r="B17" s="1">
        <v>540</v>
      </c>
      <c r="D17" s="35">
        <v>408.98</v>
      </c>
      <c r="E17" s="1">
        <f>D17/8*4</f>
        <v>204.49</v>
      </c>
      <c r="F17" s="1">
        <f t="shared" si="0"/>
        <v>613.47</v>
      </c>
      <c r="G17" s="1">
        <v>540</v>
      </c>
      <c r="J17" s="12">
        <f t="shared" si="1"/>
        <v>1</v>
      </c>
    </row>
    <row r="18" spans="1:11">
      <c r="B18" s="13" t="s">
        <v>21</v>
      </c>
      <c r="D18" s="13" t="s">
        <v>21</v>
      </c>
      <c r="E18" s="13"/>
      <c r="F18" s="13" t="s">
        <v>21</v>
      </c>
      <c r="G18" s="13" t="s">
        <v>21</v>
      </c>
      <c r="H18" s="13" t="s">
        <v>21</v>
      </c>
      <c r="I18" s="13" t="s">
        <v>21</v>
      </c>
      <c r="J18" s="13" t="s">
        <v>21</v>
      </c>
    </row>
    <row r="19" spans="1:11">
      <c r="A19" s="11" t="s">
        <v>22</v>
      </c>
      <c r="B19" s="1">
        <f>SUM(B11:B17)</f>
        <v>12260</v>
      </c>
      <c r="C19" s="11"/>
      <c r="D19" s="1">
        <f>SUM(D11:D17)</f>
        <v>7248.74</v>
      </c>
      <c r="E19" s="1">
        <f>SUM(E11:E17)</f>
        <v>3714.37</v>
      </c>
      <c r="F19" s="1">
        <f>SUM(F11:F17)</f>
        <v>10963.109999999999</v>
      </c>
      <c r="G19" s="1">
        <v>11760</v>
      </c>
      <c r="J19" s="12">
        <f t="shared" si="1"/>
        <v>1.0425170068027212</v>
      </c>
      <c r="K19" s="11"/>
    </row>
    <row r="20" spans="1:11">
      <c r="B20" s="13" t="s">
        <v>21</v>
      </c>
      <c r="D20" s="13" t="s">
        <v>21</v>
      </c>
      <c r="E20" s="13"/>
      <c r="F20" s="13" t="s">
        <v>21</v>
      </c>
      <c r="G20" s="13" t="s">
        <v>21</v>
      </c>
      <c r="H20" s="13" t="s">
        <v>21</v>
      </c>
      <c r="I20" s="13" t="s">
        <v>21</v>
      </c>
      <c r="J20" s="13" t="s">
        <v>21</v>
      </c>
    </row>
    <row r="21" spans="1:11">
      <c r="B21" s="64"/>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K39"/>
  <sheetViews>
    <sheetView zoomScaleNormal="100" workbookViewId="0">
      <pane ySplit="8" topLeftCell="A9" activePane="bottomLeft" state="frozenSplit"/>
      <selection pane="bottomLeft" activeCell="B42" sqref="B42"/>
    </sheetView>
  </sheetViews>
  <sheetFormatPr defaultColWidth="9.1640625" defaultRowHeight="12.75" outlineLevelCol="1"/>
  <cols>
    <col min="1" max="1" width="47.33203125" customWidth="1"/>
    <col min="2" max="2" width="14.5" customWidth="1"/>
    <col min="3" max="3" width="3.83203125" customWidth="1"/>
    <col min="4" max="5" width="14.5" style="1" hidden="1" customWidth="1" outlineLevel="1"/>
    <col min="6" max="6" width="14.5" style="1" customWidth="1" collapsed="1"/>
    <col min="7" max="8" width="14.5" style="1" customWidth="1"/>
    <col min="9" max="9" width="12.664062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961</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9" spans="1:11">
      <c r="C9" s="40"/>
    </row>
    <row r="10" spans="1:11">
      <c r="A10" s="11" t="s">
        <v>10</v>
      </c>
      <c r="C10" s="40"/>
    </row>
    <row r="11" spans="1:11">
      <c r="A11" s="11" t="s">
        <v>373</v>
      </c>
      <c r="B11" s="1">
        <v>-5400</v>
      </c>
      <c r="C11" s="40"/>
      <c r="D11" s="35">
        <v>-5282.71</v>
      </c>
      <c r="E11" s="1">
        <v>-20</v>
      </c>
      <c r="F11" s="1">
        <f>D11+E11</f>
        <v>-5302.71</v>
      </c>
      <c r="G11" s="1">
        <v>-5000</v>
      </c>
      <c r="H11" s="1">
        <v>-6168</v>
      </c>
      <c r="I11" s="1">
        <v>-8375</v>
      </c>
      <c r="J11" s="12">
        <f>B11/G11</f>
        <v>1.08</v>
      </c>
      <c r="K11" t="s">
        <v>819</v>
      </c>
    </row>
    <row r="12" spans="1:11">
      <c r="A12" s="11" t="s">
        <v>374</v>
      </c>
      <c r="B12" s="1">
        <v>-3000</v>
      </c>
      <c r="C12" s="40"/>
      <c r="D12" s="35"/>
      <c r="E12" s="1">
        <v>50</v>
      </c>
      <c r="F12" s="1">
        <f t="shared" ref="F12:F29" si="0">D12+E12</f>
        <v>50</v>
      </c>
      <c r="G12" s="1">
        <v>-3000</v>
      </c>
      <c r="H12" s="1">
        <v>50</v>
      </c>
      <c r="I12" s="1">
        <v>-1768</v>
      </c>
      <c r="J12" s="12">
        <f>B12/G12</f>
        <v>1</v>
      </c>
      <c r="K12" t="s">
        <v>820</v>
      </c>
    </row>
    <row r="13" spans="1:11">
      <c r="A13" s="11" t="s">
        <v>375</v>
      </c>
      <c r="B13" s="1">
        <v>-6555</v>
      </c>
      <c r="C13" s="40"/>
      <c r="D13" s="35">
        <v>-3580</v>
      </c>
      <c r="E13" s="1">
        <v>-2975</v>
      </c>
      <c r="F13" s="1">
        <f t="shared" si="0"/>
        <v>-6555</v>
      </c>
      <c r="H13" s="1">
        <v>-7635</v>
      </c>
      <c r="I13" s="1">
        <v>-25798.58</v>
      </c>
      <c r="J13" s="12"/>
      <c r="K13" t="s">
        <v>821</v>
      </c>
    </row>
    <row r="14" spans="1:11">
      <c r="A14" s="11" t="s">
        <v>376</v>
      </c>
      <c r="B14" s="1">
        <v>0</v>
      </c>
      <c r="C14" s="40"/>
      <c r="D14" s="35"/>
      <c r="E14" s="1">
        <v>0</v>
      </c>
      <c r="F14" s="1">
        <f t="shared" si="0"/>
        <v>0</v>
      </c>
      <c r="H14" s="1">
        <v>-750</v>
      </c>
      <c r="J14" s="12"/>
      <c r="K14" t="s">
        <v>822</v>
      </c>
    </row>
    <row r="15" spans="1:11">
      <c r="A15" s="11" t="s">
        <v>377</v>
      </c>
      <c r="B15" s="38">
        <v>650</v>
      </c>
      <c r="C15" s="39" t="s">
        <v>797</v>
      </c>
      <c r="D15" s="35">
        <v>50.99</v>
      </c>
      <c r="E15" s="1">
        <v>26.12</v>
      </c>
      <c r="F15" s="1">
        <f t="shared" si="0"/>
        <v>77.11</v>
      </c>
      <c r="G15" s="1">
        <v>650</v>
      </c>
      <c r="H15" s="1">
        <v>132.94</v>
      </c>
      <c r="I15" s="1">
        <v>247.47</v>
      </c>
      <c r="J15" s="12">
        <f t="shared" ref="J15:J31" si="1">B15/G15</f>
        <v>1</v>
      </c>
      <c r="K15" t="s">
        <v>820</v>
      </c>
    </row>
    <row r="16" spans="1:11">
      <c r="A16" s="11" t="s">
        <v>378</v>
      </c>
      <c r="B16" s="104">
        <v>820</v>
      </c>
      <c r="C16" s="40"/>
      <c r="D16" s="35">
        <v>282.39999999999998</v>
      </c>
      <c r="E16" s="1">
        <v>528.6</v>
      </c>
      <c r="F16" s="1">
        <f t="shared" si="0"/>
        <v>811</v>
      </c>
      <c r="G16" s="1">
        <v>500</v>
      </c>
      <c r="H16" s="1">
        <v>812.99</v>
      </c>
      <c r="I16" s="1">
        <v>423.6</v>
      </c>
      <c r="J16" s="12">
        <f t="shared" si="1"/>
        <v>1.64</v>
      </c>
      <c r="K16" t="s">
        <v>819</v>
      </c>
    </row>
    <row r="17" spans="1:11">
      <c r="A17" s="11" t="s">
        <v>379</v>
      </c>
      <c r="B17" s="104">
        <v>100</v>
      </c>
      <c r="C17" s="40"/>
      <c r="D17" s="35">
        <v>19.75</v>
      </c>
      <c r="E17" s="1">
        <v>25</v>
      </c>
      <c r="F17" s="1">
        <f t="shared" si="0"/>
        <v>44.75</v>
      </c>
      <c r="G17" s="1">
        <v>100</v>
      </c>
      <c r="H17" s="1">
        <v>13.82</v>
      </c>
      <c r="I17" s="1">
        <v>38.18</v>
      </c>
      <c r="J17" s="12">
        <f t="shared" si="1"/>
        <v>1</v>
      </c>
      <c r="K17" t="s">
        <v>820</v>
      </c>
    </row>
    <row r="18" spans="1:11">
      <c r="A18" s="11" t="s">
        <v>380</v>
      </c>
      <c r="B18" s="38">
        <v>1000</v>
      </c>
      <c r="C18" s="39" t="s">
        <v>798</v>
      </c>
      <c r="D18" s="35">
        <v>414.53</v>
      </c>
      <c r="E18" s="1">
        <v>0</v>
      </c>
      <c r="F18" s="1">
        <f t="shared" si="0"/>
        <v>414.53</v>
      </c>
      <c r="G18" s="1">
        <v>2000</v>
      </c>
      <c r="J18" s="12">
        <f t="shared" si="1"/>
        <v>0.5</v>
      </c>
      <c r="K18" t="s">
        <v>823</v>
      </c>
    </row>
    <row r="19" spans="1:11">
      <c r="A19" s="11" t="s">
        <v>381</v>
      </c>
      <c r="B19" s="104">
        <v>1350</v>
      </c>
      <c r="C19" s="40"/>
      <c r="D19" s="35">
        <v>1299.5</v>
      </c>
      <c r="E19" s="1">
        <v>0</v>
      </c>
      <c r="F19" s="1">
        <f t="shared" si="0"/>
        <v>1299.5</v>
      </c>
      <c r="G19" s="1">
        <v>1250</v>
      </c>
      <c r="H19" s="1">
        <v>1299.5</v>
      </c>
      <c r="J19" s="12">
        <f t="shared" si="1"/>
        <v>1.08</v>
      </c>
      <c r="K19" t="s">
        <v>824</v>
      </c>
    </row>
    <row r="20" spans="1:11">
      <c r="A20" s="11" t="s">
        <v>382</v>
      </c>
      <c r="B20" s="104">
        <v>6000</v>
      </c>
      <c r="C20" s="40"/>
      <c r="D20" s="35">
        <v>1885.09</v>
      </c>
      <c r="E20" s="1">
        <f>2503.06*1.25</f>
        <v>3128.8249999999998</v>
      </c>
      <c r="F20" s="1">
        <f t="shared" si="0"/>
        <v>5013.915</v>
      </c>
      <c r="G20" s="1">
        <v>6000</v>
      </c>
      <c r="H20" s="1">
        <v>5142.37</v>
      </c>
      <c r="I20" s="1">
        <v>5803.36</v>
      </c>
      <c r="J20" s="12">
        <f t="shared" si="1"/>
        <v>1</v>
      </c>
      <c r="K20" t="s">
        <v>820</v>
      </c>
    </row>
    <row r="21" spans="1:11">
      <c r="A21" s="11" t="s">
        <v>383</v>
      </c>
      <c r="B21" s="104">
        <v>2000</v>
      </c>
      <c r="C21" s="40"/>
      <c r="D21" s="35">
        <v>1076.8499999999999</v>
      </c>
      <c r="E21" s="1">
        <f>545.14*1.5</f>
        <v>817.71</v>
      </c>
      <c r="F21" s="1">
        <f t="shared" si="0"/>
        <v>1894.56</v>
      </c>
      <c r="G21" s="1">
        <v>2000</v>
      </c>
      <c r="H21" s="1">
        <v>1319.39</v>
      </c>
      <c r="I21" s="1">
        <v>2416.7600000000002</v>
      </c>
      <c r="J21" s="12">
        <f t="shared" si="1"/>
        <v>1</v>
      </c>
      <c r="K21" t="s">
        <v>820</v>
      </c>
    </row>
    <row r="22" spans="1:11">
      <c r="A22" s="11" t="s">
        <v>384</v>
      </c>
      <c r="B22" s="38">
        <v>3800</v>
      </c>
      <c r="C22" s="39" t="s">
        <v>799</v>
      </c>
      <c r="D22" s="35">
        <v>88</v>
      </c>
      <c r="E22" s="1">
        <f>1104.76*2.25</f>
        <v>2485.71</v>
      </c>
      <c r="F22" s="1">
        <f t="shared" si="0"/>
        <v>2573.71</v>
      </c>
      <c r="G22" s="1">
        <v>4000</v>
      </c>
      <c r="H22" s="1">
        <v>2780.53</v>
      </c>
      <c r="I22" s="1">
        <v>823.73</v>
      </c>
      <c r="J22" s="12">
        <f t="shared" si="1"/>
        <v>0.95</v>
      </c>
      <c r="K22" t="s">
        <v>820</v>
      </c>
    </row>
    <row r="23" spans="1:11">
      <c r="A23" s="11" t="s">
        <v>385</v>
      </c>
      <c r="B23" s="38">
        <v>97000</v>
      </c>
      <c r="C23" s="39" t="s">
        <v>832</v>
      </c>
      <c r="D23" s="35">
        <v>30484.74</v>
      </c>
      <c r="E23" s="1">
        <f>23910.57*1.55</f>
        <v>37061.383500000004</v>
      </c>
      <c r="F23" s="1">
        <f t="shared" si="0"/>
        <v>67546.123500000002</v>
      </c>
      <c r="G23" s="1">
        <v>95000</v>
      </c>
      <c r="H23" s="1">
        <v>63951.66</v>
      </c>
      <c r="I23" s="1">
        <v>89006.76</v>
      </c>
      <c r="J23" s="12">
        <f t="shared" si="1"/>
        <v>1.0210526315789474</v>
      </c>
      <c r="K23" t="s">
        <v>825</v>
      </c>
    </row>
    <row r="24" spans="1:11">
      <c r="A24" s="11" t="s">
        <v>386</v>
      </c>
      <c r="B24" s="104">
        <v>2000</v>
      </c>
      <c r="C24" s="40"/>
      <c r="E24" s="1">
        <v>16.899999999999999</v>
      </c>
      <c r="F24" s="1">
        <f t="shared" si="0"/>
        <v>16.899999999999999</v>
      </c>
      <c r="G24" s="1">
        <v>2000</v>
      </c>
      <c r="H24" s="1">
        <v>16.899999999999999</v>
      </c>
      <c r="I24" s="1">
        <v>2003</v>
      </c>
      <c r="J24" s="12">
        <f t="shared" si="1"/>
        <v>1</v>
      </c>
      <c r="K24" t="s">
        <v>826</v>
      </c>
    </row>
    <row r="25" spans="1:11">
      <c r="A25" s="11" t="s">
        <v>387</v>
      </c>
      <c r="B25" s="104">
        <v>9000</v>
      </c>
      <c r="C25" s="40"/>
      <c r="D25" s="35">
        <v>4221.6000000000004</v>
      </c>
      <c r="E25" s="1">
        <v>3000</v>
      </c>
      <c r="F25" s="1">
        <f t="shared" si="0"/>
        <v>7221.6</v>
      </c>
      <c r="G25" s="1">
        <v>8000</v>
      </c>
      <c r="H25" s="1">
        <v>6325.91</v>
      </c>
      <c r="I25" s="1">
        <v>10100</v>
      </c>
      <c r="J25" s="12">
        <f t="shared" si="1"/>
        <v>1.125</v>
      </c>
      <c r="K25" t="s">
        <v>827</v>
      </c>
    </row>
    <row r="26" spans="1:11">
      <c r="A26" s="11" t="s">
        <v>388</v>
      </c>
      <c r="B26" s="104">
        <v>45000</v>
      </c>
      <c r="C26" s="40"/>
      <c r="D26" s="35">
        <v>26024.2</v>
      </c>
      <c r="E26" s="1">
        <v>17134.62</v>
      </c>
      <c r="F26" s="1">
        <f t="shared" si="0"/>
        <v>43158.82</v>
      </c>
      <c r="G26" s="1">
        <v>40000</v>
      </c>
      <c r="H26" s="1">
        <v>40958.769999999997</v>
      </c>
      <c r="I26" s="1">
        <v>40180.120000000003</v>
      </c>
      <c r="J26" s="12">
        <f t="shared" si="1"/>
        <v>1.125</v>
      </c>
      <c r="K26" t="s">
        <v>828</v>
      </c>
    </row>
    <row r="27" spans="1:11">
      <c r="A27" s="11" t="s">
        <v>389</v>
      </c>
      <c r="B27" s="1">
        <v>4000</v>
      </c>
      <c r="C27" s="40"/>
      <c r="D27" s="35">
        <v>2380.7399999999998</v>
      </c>
      <c r="E27" s="1">
        <v>1512.22</v>
      </c>
      <c r="F27" s="1">
        <f t="shared" si="0"/>
        <v>3892.96</v>
      </c>
      <c r="G27" s="1">
        <v>3600</v>
      </c>
      <c r="H27" s="1">
        <v>3732.42</v>
      </c>
      <c r="I27" s="1">
        <v>3755.43</v>
      </c>
      <c r="J27" s="12">
        <f t="shared" si="1"/>
        <v>1.1111111111111112</v>
      </c>
      <c r="K27" t="s">
        <v>819</v>
      </c>
    </row>
    <row r="28" spans="1:11">
      <c r="A28" s="11" t="s">
        <v>390</v>
      </c>
      <c r="B28" s="1">
        <v>160</v>
      </c>
      <c r="C28" s="40"/>
      <c r="D28" s="35">
        <v>151.47</v>
      </c>
      <c r="E28" s="1">
        <v>0</v>
      </c>
      <c r="F28" s="1">
        <f t="shared" si="0"/>
        <v>151.47</v>
      </c>
      <c r="G28" s="1">
        <v>150</v>
      </c>
      <c r="J28" s="12">
        <f t="shared" si="1"/>
        <v>1.0666666666666667</v>
      </c>
      <c r="K28" t="s">
        <v>819</v>
      </c>
    </row>
    <row r="29" spans="1:11">
      <c r="A29" s="11" t="s">
        <v>391</v>
      </c>
      <c r="B29" s="112">
        <v>2600</v>
      </c>
      <c r="C29" s="40"/>
      <c r="D29" s="35">
        <v>1098.3</v>
      </c>
      <c r="E29" s="1">
        <v>1049.94</v>
      </c>
      <c r="F29" s="1">
        <f t="shared" si="0"/>
        <v>2148.2399999999998</v>
      </c>
      <c r="G29" s="1">
        <v>1650</v>
      </c>
      <c r="H29" s="1">
        <v>2281.52</v>
      </c>
      <c r="I29" s="1">
        <v>2678.33</v>
      </c>
      <c r="J29" s="12">
        <f t="shared" si="1"/>
        <v>1.5757575757575757</v>
      </c>
      <c r="K29" t="s">
        <v>819</v>
      </c>
    </row>
    <row r="30" spans="1:11">
      <c r="B30" s="13" t="s">
        <v>21</v>
      </c>
      <c r="C30" s="40"/>
      <c r="D30" s="13" t="s">
        <v>21</v>
      </c>
      <c r="E30" s="13"/>
      <c r="F30" s="13" t="s">
        <v>21</v>
      </c>
      <c r="G30" s="13" t="s">
        <v>21</v>
      </c>
      <c r="H30" s="13" t="s">
        <v>21</v>
      </c>
      <c r="I30" s="13" t="s">
        <v>21</v>
      </c>
      <c r="J30" s="13" t="s">
        <v>21</v>
      </c>
    </row>
    <row r="31" spans="1:11">
      <c r="A31" s="11" t="s">
        <v>22</v>
      </c>
      <c r="B31" s="1">
        <f>SUM(B11:B29)</f>
        <v>160525</v>
      </c>
      <c r="C31" s="40"/>
      <c r="D31" s="1">
        <f>SUM(D11:D29)</f>
        <v>60615.450000000004</v>
      </c>
      <c r="E31" s="1">
        <f>SUM(E11:E29)</f>
        <v>63842.0285</v>
      </c>
      <c r="F31" s="1">
        <f>SUM(F11:F29)</f>
        <v>124457.47850000003</v>
      </c>
      <c r="G31" s="1">
        <v>158900</v>
      </c>
      <c r="H31" s="1">
        <v>114265.72</v>
      </c>
      <c r="I31" s="1">
        <v>121535.16</v>
      </c>
      <c r="J31" s="12">
        <f t="shared" si="1"/>
        <v>1.0102265575833858</v>
      </c>
      <c r="K31" s="11"/>
    </row>
    <row r="32" spans="1:11">
      <c r="B32" s="13" t="s">
        <v>21</v>
      </c>
      <c r="D32" s="13" t="s">
        <v>21</v>
      </c>
      <c r="E32" s="13"/>
      <c r="F32" s="13" t="s">
        <v>21</v>
      </c>
      <c r="G32" s="13" t="s">
        <v>21</v>
      </c>
      <c r="H32" s="13" t="s">
        <v>21</v>
      </c>
      <c r="I32" s="13" t="s">
        <v>21</v>
      </c>
      <c r="J32" s="13" t="s">
        <v>21</v>
      </c>
    </row>
    <row r="33" spans="1:10">
      <c r="B33" s="64"/>
    </row>
    <row r="34" spans="1:10">
      <c r="J34" s="2" t="s">
        <v>930</v>
      </c>
    </row>
    <row r="36" spans="1:10">
      <c r="A36" s="62" t="s">
        <v>829</v>
      </c>
    </row>
    <row r="37" spans="1:10">
      <c r="A37" s="62" t="s">
        <v>830</v>
      </c>
    </row>
    <row r="38" spans="1:10">
      <c r="A38" s="62" t="s">
        <v>831</v>
      </c>
    </row>
    <row r="39" spans="1:10">
      <c r="A39" s="62" t="s">
        <v>833</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K30"/>
  <sheetViews>
    <sheetView zoomScaleNormal="100" workbookViewId="0">
      <pane ySplit="8" topLeftCell="A9" activePane="bottomLeft" state="frozenSplit"/>
      <selection pane="bottomLeft" activeCell="A38" sqref="A38"/>
    </sheetView>
  </sheetViews>
  <sheetFormatPr defaultColWidth="9.1640625" defaultRowHeight="12.75"/>
  <cols>
    <col min="1" max="1" width="53.1640625" customWidth="1"/>
    <col min="2" max="2" width="14.5" customWidth="1"/>
    <col min="3" max="3" width="3.1640625" customWidth="1"/>
    <col min="4" max="9" width="14.5" style="1" customWidth="1"/>
    <col min="10" max="10" width="10.5" style="2" customWidth="1"/>
    <col min="11" max="11" width="55.5" customWidth="1"/>
  </cols>
  <sheetData>
    <row r="1" spans="1:11" ht="15">
      <c r="A1" s="125" t="s">
        <v>0</v>
      </c>
      <c r="B1" s="125"/>
      <c r="C1" s="125"/>
      <c r="D1" s="125"/>
      <c r="E1" s="125"/>
      <c r="F1" s="125"/>
      <c r="G1" s="125"/>
      <c r="H1" s="125"/>
      <c r="I1" s="125"/>
      <c r="J1" s="125"/>
      <c r="K1" s="4"/>
    </row>
    <row r="2" spans="1:11">
      <c r="A2" s="126" t="s">
        <v>962</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c r="B10" s="60"/>
    </row>
    <row r="11" spans="1:11">
      <c r="A11" s="11" t="s">
        <v>392</v>
      </c>
      <c r="B11" s="65">
        <v>-1000</v>
      </c>
      <c r="D11" s="35">
        <v>-579</v>
      </c>
      <c r="E11" s="1">
        <v>-1060</v>
      </c>
      <c r="F11" s="1">
        <f>D11+E11</f>
        <v>-1639</v>
      </c>
      <c r="H11" s="1">
        <v>-1088</v>
      </c>
      <c r="I11" s="1">
        <v>-2133.79</v>
      </c>
      <c r="J11" s="12"/>
    </row>
    <row r="12" spans="1:11">
      <c r="A12" s="11" t="s">
        <v>393</v>
      </c>
      <c r="B12" s="65">
        <v>0</v>
      </c>
      <c r="D12" s="35"/>
      <c r="E12" s="1">
        <v>0</v>
      </c>
      <c r="F12" s="1">
        <f t="shared" ref="F12:F25" si="0">D12+E12</f>
        <v>0</v>
      </c>
      <c r="G12" s="1">
        <v>50</v>
      </c>
      <c r="I12" s="1">
        <v>12.14</v>
      </c>
      <c r="J12" s="12">
        <f>B12/G12</f>
        <v>0</v>
      </c>
    </row>
    <row r="13" spans="1:11">
      <c r="A13" s="11" t="s">
        <v>394</v>
      </c>
      <c r="B13" s="65">
        <v>180</v>
      </c>
      <c r="D13" s="35">
        <v>113.33</v>
      </c>
      <c r="E13" s="1">
        <v>56.6</v>
      </c>
      <c r="F13" s="1">
        <f t="shared" si="0"/>
        <v>169.93</v>
      </c>
      <c r="G13" s="1">
        <v>180</v>
      </c>
      <c r="H13" s="1">
        <v>169.8</v>
      </c>
      <c r="I13" s="1">
        <v>169.8</v>
      </c>
      <c r="J13" s="12">
        <f t="shared" ref="J13:J27" si="1">B13/G13</f>
        <v>1</v>
      </c>
    </row>
    <row r="14" spans="1:11">
      <c r="A14" s="11" t="s">
        <v>395</v>
      </c>
      <c r="B14" s="65">
        <v>24</v>
      </c>
      <c r="D14" s="35"/>
      <c r="E14" s="1">
        <v>0</v>
      </c>
      <c r="F14" s="1">
        <f t="shared" si="0"/>
        <v>0</v>
      </c>
      <c r="G14" s="1">
        <v>24</v>
      </c>
      <c r="H14" s="1">
        <v>0.01</v>
      </c>
      <c r="I14" s="1">
        <v>0.57999999999999996</v>
      </c>
      <c r="J14" s="12">
        <f t="shared" si="1"/>
        <v>1</v>
      </c>
    </row>
    <row r="15" spans="1:11">
      <c r="A15" s="11" t="s">
        <v>396</v>
      </c>
      <c r="B15" s="65">
        <v>2500</v>
      </c>
      <c r="D15" s="35"/>
      <c r="E15" s="1">
        <v>2765.04</v>
      </c>
      <c r="F15" s="1">
        <f t="shared" si="0"/>
        <v>2765.04</v>
      </c>
      <c r="G15" s="1">
        <v>2500</v>
      </c>
      <c r="H15" s="1">
        <v>2538.0700000000002</v>
      </c>
      <c r="I15" s="1">
        <v>3399.87</v>
      </c>
      <c r="J15" s="12">
        <f t="shared" si="1"/>
        <v>1</v>
      </c>
    </row>
    <row r="16" spans="1:11">
      <c r="A16" s="11" t="s">
        <v>932</v>
      </c>
      <c r="B16" s="65">
        <v>5500</v>
      </c>
      <c r="D16" s="35"/>
      <c r="E16" s="1">
        <v>4853.8100000000004</v>
      </c>
      <c r="F16" s="1">
        <f t="shared" si="0"/>
        <v>4853.8100000000004</v>
      </c>
      <c r="G16" s="1">
        <v>5500</v>
      </c>
      <c r="H16" s="1">
        <v>4911.4399999999996</v>
      </c>
      <c r="I16" s="1">
        <v>5309.73</v>
      </c>
      <c r="J16" s="12">
        <f t="shared" si="1"/>
        <v>1</v>
      </c>
    </row>
    <row r="17" spans="1:11">
      <c r="A17" s="11" t="s">
        <v>397</v>
      </c>
      <c r="B17" s="65">
        <v>2500</v>
      </c>
      <c r="D17" s="35">
        <v>220</v>
      </c>
      <c r="E17" s="1">
        <v>570</v>
      </c>
      <c r="F17" s="1">
        <f t="shared" si="0"/>
        <v>790</v>
      </c>
      <c r="H17" s="1">
        <v>610</v>
      </c>
      <c r="I17" s="1">
        <v>1416</v>
      </c>
      <c r="J17" s="12"/>
    </row>
    <row r="18" spans="1:11">
      <c r="A18" s="11" t="s">
        <v>398</v>
      </c>
      <c r="B18" s="65">
        <v>300</v>
      </c>
      <c r="D18" s="35">
        <v>17.8</v>
      </c>
      <c r="E18" s="1">
        <v>100</v>
      </c>
      <c r="F18" s="1">
        <f t="shared" si="0"/>
        <v>117.8</v>
      </c>
      <c r="G18" s="1">
        <v>300</v>
      </c>
      <c r="H18" s="1">
        <v>100</v>
      </c>
      <c r="I18" s="1">
        <v>673.3</v>
      </c>
      <c r="J18" s="12">
        <f t="shared" si="1"/>
        <v>1</v>
      </c>
    </row>
    <row r="19" spans="1:11">
      <c r="A19" s="11" t="s">
        <v>399</v>
      </c>
      <c r="B19" s="65">
        <v>2500</v>
      </c>
      <c r="D19" s="35">
        <v>210</v>
      </c>
      <c r="E19" s="1">
        <v>2095.1799999999998</v>
      </c>
      <c r="F19" s="1">
        <f t="shared" si="0"/>
        <v>2305.1799999999998</v>
      </c>
      <c r="G19" s="1">
        <v>3000</v>
      </c>
      <c r="H19" s="1">
        <v>2280.4299999999998</v>
      </c>
      <c r="I19" s="1">
        <v>1450.07</v>
      </c>
      <c r="J19" s="12">
        <f t="shared" si="1"/>
        <v>0.83333333333333337</v>
      </c>
    </row>
    <row r="20" spans="1:11">
      <c r="A20" s="11" t="s">
        <v>400</v>
      </c>
      <c r="B20" s="65">
        <v>2000</v>
      </c>
      <c r="D20" s="35">
        <v>15</v>
      </c>
      <c r="E20" s="1">
        <v>1029.57</v>
      </c>
      <c r="F20" s="1">
        <f t="shared" si="0"/>
        <v>1044.57</v>
      </c>
      <c r="G20" s="1">
        <v>1500</v>
      </c>
      <c r="H20" s="1">
        <v>1029.57</v>
      </c>
      <c r="I20" s="1">
        <v>643.75</v>
      </c>
      <c r="J20" s="12">
        <f t="shared" si="1"/>
        <v>1.3333333333333333</v>
      </c>
    </row>
    <row r="21" spans="1:11">
      <c r="A21" s="11" t="s">
        <v>401</v>
      </c>
      <c r="B21" s="65">
        <v>500</v>
      </c>
      <c r="D21" s="35"/>
      <c r="E21" s="1">
        <v>0</v>
      </c>
      <c r="F21" s="1">
        <f t="shared" si="0"/>
        <v>0</v>
      </c>
      <c r="G21" s="1">
        <v>100</v>
      </c>
      <c r="J21" s="12">
        <f t="shared" si="1"/>
        <v>5</v>
      </c>
    </row>
    <row r="22" spans="1:11">
      <c r="A22" s="11" t="s">
        <v>402</v>
      </c>
      <c r="B22" s="65">
        <v>0</v>
      </c>
      <c r="D22" s="35"/>
      <c r="E22" s="1">
        <v>0</v>
      </c>
      <c r="F22" s="1">
        <f t="shared" si="0"/>
        <v>0</v>
      </c>
      <c r="I22" s="1">
        <v>113.26</v>
      </c>
      <c r="J22" s="12"/>
    </row>
    <row r="23" spans="1:11">
      <c r="A23" s="11" t="s">
        <v>403</v>
      </c>
      <c r="B23" s="65">
        <v>12000</v>
      </c>
      <c r="D23" s="35">
        <v>6104.13</v>
      </c>
      <c r="E23" s="1">
        <v>5449.04</v>
      </c>
      <c r="F23" s="1">
        <f t="shared" si="0"/>
        <v>11553.17</v>
      </c>
      <c r="G23" s="1">
        <v>13000</v>
      </c>
      <c r="H23" s="1">
        <v>9475.19</v>
      </c>
      <c r="I23" s="1">
        <v>12001.14</v>
      </c>
      <c r="J23" s="12">
        <f t="shared" si="1"/>
        <v>0.92307692307692313</v>
      </c>
    </row>
    <row r="24" spans="1:11">
      <c r="A24" s="11" t="s">
        <v>404</v>
      </c>
      <c r="B24" s="65">
        <v>1200</v>
      </c>
      <c r="D24" s="35">
        <v>445.16</v>
      </c>
      <c r="E24" s="1">
        <v>405.32</v>
      </c>
      <c r="F24" s="1">
        <f t="shared" si="0"/>
        <v>850.48</v>
      </c>
      <c r="G24" s="1">
        <v>1200</v>
      </c>
      <c r="H24" s="1">
        <v>718.88</v>
      </c>
      <c r="I24" s="1">
        <v>923.07</v>
      </c>
      <c r="J24" s="12">
        <f t="shared" si="1"/>
        <v>1</v>
      </c>
    </row>
    <row r="25" spans="1:11">
      <c r="A25" s="11" t="s">
        <v>405</v>
      </c>
      <c r="B25" s="115">
        <v>270</v>
      </c>
      <c r="D25" s="35">
        <v>181.24</v>
      </c>
      <c r="E25" s="1">
        <v>90.62</v>
      </c>
      <c r="F25" s="1">
        <f t="shared" si="0"/>
        <v>271.86</v>
      </c>
      <c r="G25" s="1">
        <v>270</v>
      </c>
      <c r="H25" s="1">
        <v>271.85000000000002</v>
      </c>
      <c r="I25" s="1">
        <v>271.85000000000002</v>
      </c>
      <c r="J25" s="12">
        <f t="shared" si="1"/>
        <v>1</v>
      </c>
    </row>
    <row r="26" spans="1:11">
      <c r="B26" s="66" t="s">
        <v>21</v>
      </c>
      <c r="D26" s="13" t="s">
        <v>21</v>
      </c>
      <c r="E26" s="13"/>
      <c r="F26" s="13" t="s">
        <v>21</v>
      </c>
      <c r="G26" s="13" t="s">
        <v>21</v>
      </c>
      <c r="H26" s="13" t="s">
        <v>21</v>
      </c>
      <c r="I26" s="13" t="s">
        <v>21</v>
      </c>
      <c r="J26" s="13" t="s">
        <v>21</v>
      </c>
    </row>
    <row r="27" spans="1:11">
      <c r="A27" s="11" t="s">
        <v>22</v>
      </c>
      <c r="B27" s="65">
        <f>SUM(B10:B25)</f>
        <v>28474</v>
      </c>
      <c r="C27" s="11"/>
      <c r="D27" s="1">
        <f>SUM(D11:D25)</f>
        <v>6727.66</v>
      </c>
      <c r="E27" s="1">
        <f>SUM(E11:E25)</f>
        <v>16355.180000000002</v>
      </c>
      <c r="F27" s="1">
        <f>SUM(F11:F25)</f>
        <v>23082.84</v>
      </c>
      <c r="G27" s="1">
        <v>27624</v>
      </c>
      <c r="H27" s="1">
        <v>21017.24</v>
      </c>
      <c r="I27" s="1">
        <v>24250.77</v>
      </c>
      <c r="J27" s="12">
        <f t="shared" si="1"/>
        <v>1.0307703446278598</v>
      </c>
      <c r="K27" s="11"/>
    </row>
    <row r="28" spans="1:11">
      <c r="B28" s="13" t="s">
        <v>21</v>
      </c>
      <c r="D28" s="13" t="s">
        <v>21</v>
      </c>
      <c r="E28" s="13"/>
      <c r="F28" s="13" t="s">
        <v>21</v>
      </c>
      <c r="G28" s="13" t="s">
        <v>21</v>
      </c>
      <c r="H28" s="13" t="s">
        <v>21</v>
      </c>
      <c r="I28" s="13" t="s">
        <v>21</v>
      </c>
      <c r="J28" s="13" t="s">
        <v>21</v>
      </c>
    </row>
    <row r="29" spans="1:11">
      <c r="B29" s="64"/>
    </row>
    <row r="30" spans="1:11">
      <c r="K30" t="s">
        <v>930</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K31"/>
  <sheetViews>
    <sheetView workbookViewId="0">
      <pane ySplit="8" topLeftCell="A9" activePane="bottomLeft" state="frozenSplit"/>
      <selection pane="bottomLeft" activeCell="A37" sqref="A37"/>
    </sheetView>
  </sheetViews>
  <sheetFormatPr defaultColWidth="9.1640625" defaultRowHeight="12.75" outlineLevelCol="1"/>
  <cols>
    <col min="1" max="1" width="50.1640625" customWidth="1"/>
    <col min="2" max="2" width="14.5" customWidth="1"/>
    <col min="3" max="3" width="3.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963</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c r="B10" s="65"/>
    </row>
    <row r="11" spans="1:11">
      <c r="A11" s="11" t="s">
        <v>406</v>
      </c>
      <c r="B11" s="65">
        <v>0</v>
      </c>
      <c r="E11" s="1">
        <v>0</v>
      </c>
      <c r="F11" s="1">
        <f>D11+E11</f>
        <v>0</v>
      </c>
      <c r="G11" s="1">
        <v>-500</v>
      </c>
      <c r="J11" s="12">
        <f t="shared" ref="J11:J27" si="0">B11/G11</f>
        <v>0</v>
      </c>
    </row>
    <row r="12" spans="1:11">
      <c r="A12" s="11" t="s">
        <v>407</v>
      </c>
      <c r="B12" s="65">
        <v>0</v>
      </c>
      <c r="E12" s="1">
        <v>0</v>
      </c>
      <c r="F12" s="1">
        <f t="shared" ref="F12:F25" si="1">D12+E12</f>
        <v>0</v>
      </c>
      <c r="H12" s="1">
        <v>-5648.49</v>
      </c>
      <c r="J12" s="12"/>
    </row>
    <row r="13" spans="1:11">
      <c r="A13" s="11" t="s">
        <v>408</v>
      </c>
      <c r="B13" s="65">
        <v>0</v>
      </c>
      <c r="D13" s="1">
        <v>-619.9</v>
      </c>
      <c r="E13" s="1">
        <v>-47</v>
      </c>
      <c r="F13" s="1">
        <f t="shared" si="1"/>
        <v>-666.9</v>
      </c>
      <c r="G13" s="1">
        <v>-1000</v>
      </c>
      <c r="H13" s="1">
        <v>-72</v>
      </c>
      <c r="I13" s="1">
        <v>1240.57</v>
      </c>
      <c r="J13" s="12">
        <f t="shared" si="0"/>
        <v>0</v>
      </c>
    </row>
    <row r="14" spans="1:11">
      <c r="A14" s="11" t="s">
        <v>409</v>
      </c>
      <c r="B14" s="65">
        <v>50</v>
      </c>
      <c r="E14" s="1">
        <v>0</v>
      </c>
      <c r="F14" s="1">
        <f t="shared" si="1"/>
        <v>0</v>
      </c>
      <c r="G14" s="1">
        <v>50</v>
      </c>
      <c r="I14" s="1">
        <v>0.69</v>
      </c>
      <c r="J14" s="12">
        <f t="shared" si="0"/>
        <v>1</v>
      </c>
    </row>
    <row r="15" spans="1:11">
      <c r="A15" s="11" t="s">
        <v>410</v>
      </c>
      <c r="B15" s="65">
        <v>120</v>
      </c>
      <c r="D15" s="35">
        <v>80.48</v>
      </c>
      <c r="E15" s="1">
        <v>32.24</v>
      </c>
      <c r="F15" s="1">
        <f t="shared" si="1"/>
        <v>112.72</v>
      </c>
      <c r="G15" s="1">
        <v>120</v>
      </c>
      <c r="H15" s="1">
        <v>96.72</v>
      </c>
      <c r="J15" s="12">
        <f t="shared" si="0"/>
        <v>1</v>
      </c>
    </row>
    <row r="16" spans="1:11">
      <c r="A16" s="11" t="s">
        <v>411</v>
      </c>
      <c r="B16" s="65">
        <v>50</v>
      </c>
      <c r="D16" s="35"/>
      <c r="E16" s="1">
        <v>0</v>
      </c>
      <c r="F16" s="1">
        <f t="shared" si="1"/>
        <v>0</v>
      </c>
      <c r="G16" s="1">
        <v>50</v>
      </c>
      <c r="I16" s="1">
        <v>1.02</v>
      </c>
      <c r="J16" s="12">
        <f t="shared" si="0"/>
        <v>1</v>
      </c>
    </row>
    <row r="17" spans="1:11">
      <c r="A17" s="11" t="s">
        <v>412</v>
      </c>
      <c r="B17" s="65">
        <v>2000</v>
      </c>
      <c r="D17" s="35">
        <v>300.83999999999997</v>
      </c>
      <c r="E17" s="1">
        <v>939.07</v>
      </c>
      <c r="F17" s="1">
        <f t="shared" si="1"/>
        <v>1239.9100000000001</v>
      </c>
      <c r="G17" s="1">
        <v>2000</v>
      </c>
      <c r="H17" s="1">
        <v>1944.74</v>
      </c>
      <c r="I17" s="1">
        <v>2097.4899999999998</v>
      </c>
      <c r="J17" s="12">
        <f t="shared" si="0"/>
        <v>1</v>
      </c>
    </row>
    <row r="18" spans="1:11">
      <c r="A18" s="11" t="s">
        <v>413</v>
      </c>
      <c r="B18" s="65">
        <v>750</v>
      </c>
      <c r="D18" s="35">
        <v>41.98</v>
      </c>
      <c r="E18" s="1">
        <v>147.68</v>
      </c>
      <c r="F18" s="1">
        <f t="shared" si="1"/>
        <v>189.66</v>
      </c>
      <c r="G18" s="1">
        <v>1500</v>
      </c>
      <c r="H18" s="1">
        <v>761.01</v>
      </c>
      <c r="I18" s="1">
        <v>123.2</v>
      </c>
      <c r="J18" s="12">
        <f t="shared" si="0"/>
        <v>0.5</v>
      </c>
    </row>
    <row r="19" spans="1:11">
      <c r="A19" s="11" t="s">
        <v>414</v>
      </c>
      <c r="B19" s="65">
        <v>2000</v>
      </c>
      <c r="D19" s="35">
        <v>757.04</v>
      </c>
      <c r="E19" s="1">
        <v>395</v>
      </c>
      <c r="F19" s="1">
        <f t="shared" si="1"/>
        <v>1152.04</v>
      </c>
      <c r="G19" s="1">
        <v>2000</v>
      </c>
      <c r="H19" s="1">
        <v>1827.81</v>
      </c>
      <c r="I19" s="1">
        <v>1330.99</v>
      </c>
      <c r="J19" s="12">
        <f t="shared" si="0"/>
        <v>1</v>
      </c>
    </row>
    <row r="20" spans="1:11">
      <c r="A20" s="11" t="s">
        <v>415</v>
      </c>
      <c r="B20" s="65">
        <v>0</v>
      </c>
      <c r="E20" s="1">
        <v>0</v>
      </c>
      <c r="F20" s="1">
        <f t="shared" si="1"/>
        <v>0</v>
      </c>
      <c r="H20" s="1">
        <v>2436.3000000000002</v>
      </c>
      <c r="J20" s="12"/>
    </row>
    <row r="21" spans="1:11">
      <c r="A21" s="11" t="s">
        <v>416</v>
      </c>
      <c r="B21" s="65">
        <v>0</v>
      </c>
      <c r="D21" s="35">
        <v>299.89999999999998</v>
      </c>
      <c r="E21" s="1">
        <v>0</v>
      </c>
      <c r="F21" s="1">
        <f t="shared" si="1"/>
        <v>299.89999999999998</v>
      </c>
      <c r="I21" s="1">
        <v>555.67999999999995</v>
      </c>
      <c r="J21" s="12"/>
    </row>
    <row r="22" spans="1:11">
      <c r="A22" s="11" t="s">
        <v>417</v>
      </c>
      <c r="B22" s="65">
        <v>2000</v>
      </c>
      <c r="D22" s="35">
        <v>909.78</v>
      </c>
      <c r="E22" s="1">
        <v>0</v>
      </c>
      <c r="F22" s="1">
        <f t="shared" si="1"/>
        <v>909.78</v>
      </c>
      <c r="G22" s="1">
        <v>2000</v>
      </c>
      <c r="H22" s="1">
        <v>717.49</v>
      </c>
      <c r="I22" s="1">
        <v>297.5</v>
      </c>
      <c r="J22" s="12">
        <f t="shared" si="0"/>
        <v>1</v>
      </c>
    </row>
    <row r="23" spans="1:11">
      <c r="A23" s="11" t="s">
        <v>418</v>
      </c>
      <c r="B23" s="77">
        <v>11500</v>
      </c>
      <c r="D23" s="35">
        <v>13043.1</v>
      </c>
      <c r="E23" s="1">
        <v>1868.14</v>
      </c>
      <c r="F23" s="1">
        <f t="shared" si="1"/>
        <v>14911.24</v>
      </c>
      <c r="G23" s="1">
        <v>10825</v>
      </c>
      <c r="H23" s="1">
        <v>12753.09</v>
      </c>
      <c r="I23" s="1">
        <v>10878.79</v>
      </c>
      <c r="J23" s="12">
        <f t="shared" si="0"/>
        <v>1.0623556581986142</v>
      </c>
    </row>
    <row r="24" spans="1:11">
      <c r="A24" s="11" t="s">
        <v>419</v>
      </c>
      <c r="B24" s="77">
        <v>900</v>
      </c>
      <c r="D24" s="35">
        <v>830.34</v>
      </c>
      <c r="E24" s="1">
        <v>138.72</v>
      </c>
      <c r="F24" s="1">
        <f t="shared" si="1"/>
        <v>969.06000000000006</v>
      </c>
      <c r="G24" s="1">
        <v>900</v>
      </c>
      <c r="H24" s="1">
        <v>849.66</v>
      </c>
      <c r="I24" s="1">
        <v>853.06</v>
      </c>
      <c r="J24" s="12">
        <f t="shared" si="0"/>
        <v>1</v>
      </c>
    </row>
    <row r="25" spans="1:11">
      <c r="A25" s="11" t="s">
        <v>420</v>
      </c>
      <c r="B25" s="115">
        <v>0</v>
      </c>
      <c r="E25" s="1">
        <v>98.6</v>
      </c>
      <c r="F25" s="1">
        <f t="shared" si="1"/>
        <v>98.6</v>
      </c>
      <c r="G25" s="1">
        <v>400</v>
      </c>
      <c r="H25" s="1">
        <v>295.8</v>
      </c>
      <c r="I25" s="1">
        <v>295.8</v>
      </c>
      <c r="J25" s="12">
        <f t="shared" si="0"/>
        <v>0</v>
      </c>
    </row>
    <row r="26" spans="1:11">
      <c r="B26" s="66" t="s">
        <v>21</v>
      </c>
      <c r="D26" s="13" t="s">
        <v>21</v>
      </c>
      <c r="E26" s="13"/>
      <c r="F26" s="13" t="s">
        <v>21</v>
      </c>
      <c r="G26" s="13" t="s">
        <v>21</v>
      </c>
      <c r="H26" s="13" t="s">
        <v>21</v>
      </c>
      <c r="I26" s="13" t="s">
        <v>21</v>
      </c>
      <c r="J26" s="13" t="s">
        <v>21</v>
      </c>
    </row>
    <row r="27" spans="1:11">
      <c r="A27" s="11" t="s">
        <v>22</v>
      </c>
      <c r="B27" s="65">
        <f>SUM(B11:B25)</f>
        <v>19370</v>
      </c>
      <c r="C27" s="11"/>
      <c r="D27" s="1">
        <f>SUM(D11:D25)</f>
        <v>15643.560000000001</v>
      </c>
      <c r="E27" s="1">
        <f>SUM(E11:E25)</f>
        <v>3572.45</v>
      </c>
      <c r="F27" s="1">
        <f>SUM(F11:F25)</f>
        <v>19216.009999999998</v>
      </c>
      <c r="G27" s="1">
        <v>18345</v>
      </c>
      <c r="H27" s="1">
        <v>15962.13</v>
      </c>
      <c r="I27" s="1">
        <v>17674.79</v>
      </c>
      <c r="J27" s="12">
        <f t="shared" si="0"/>
        <v>1.0558735350231672</v>
      </c>
      <c r="K27" s="11"/>
    </row>
    <row r="28" spans="1:11">
      <c r="B28" s="13" t="s">
        <v>21</v>
      </c>
      <c r="D28" s="13" t="s">
        <v>21</v>
      </c>
      <c r="E28" s="13"/>
      <c r="F28" s="13" t="s">
        <v>21</v>
      </c>
      <c r="G28" s="13" t="s">
        <v>21</v>
      </c>
      <c r="H28" s="13" t="s">
        <v>21</v>
      </c>
      <c r="I28" s="13" t="s">
        <v>21</v>
      </c>
      <c r="J28" s="13" t="s">
        <v>21</v>
      </c>
    </row>
    <row r="29" spans="1:11">
      <c r="B29" s="64"/>
    </row>
    <row r="30" spans="1:11">
      <c r="J30" s="2" t="s">
        <v>930</v>
      </c>
    </row>
    <row r="31" spans="1:11">
      <c r="A31" s="62" t="s">
        <v>923</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K56"/>
  <sheetViews>
    <sheetView workbookViewId="0">
      <pane ySplit="8" topLeftCell="A9" activePane="bottomLeft" state="frozenSplit"/>
      <selection pane="bottomLeft" activeCell="A40" sqref="A40"/>
    </sheetView>
  </sheetViews>
  <sheetFormatPr defaultColWidth="9.1640625" defaultRowHeight="12.75"/>
  <cols>
    <col min="1" max="1" width="62.6640625" customWidth="1"/>
    <col min="2" max="2" width="14.5" customWidth="1"/>
    <col min="3" max="3" width="3.5" customWidth="1"/>
    <col min="4"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964</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421</v>
      </c>
      <c r="B11" s="65">
        <v>0</v>
      </c>
      <c r="D11" s="35">
        <v>-3985.25</v>
      </c>
      <c r="E11" s="1">
        <v>-4710.0200000000004</v>
      </c>
      <c r="F11" s="1">
        <f>D11+E11</f>
        <v>-8695.27</v>
      </c>
      <c r="H11" s="1">
        <v>-8210.02</v>
      </c>
      <c r="I11" s="1">
        <v>-5647.47</v>
      </c>
      <c r="J11" s="12"/>
    </row>
    <row r="12" spans="1:11">
      <c r="A12" s="11" t="s">
        <v>422</v>
      </c>
      <c r="B12" s="65">
        <v>0</v>
      </c>
      <c r="D12" s="35">
        <v>-3470</v>
      </c>
      <c r="E12" s="1">
        <v>0</v>
      </c>
      <c r="F12" s="1">
        <f t="shared" ref="F12:F50" si="0">D12+E12</f>
        <v>-3470</v>
      </c>
      <c r="J12" s="12"/>
    </row>
    <row r="13" spans="1:11">
      <c r="A13" s="11" t="s">
        <v>423</v>
      </c>
      <c r="B13" s="65">
        <v>750</v>
      </c>
      <c r="D13" s="35">
        <v>177.13</v>
      </c>
      <c r="E13" s="1">
        <v>0</v>
      </c>
      <c r="F13" s="1">
        <f t="shared" si="0"/>
        <v>177.13</v>
      </c>
      <c r="G13" s="1">
        <v>1000</v>
      </c>
      <c r="H13" s="1">
        <v>362.17</v>
      </c>
      <c r="I13" s="1">
        <v>302.83999999999997</v>
      </c>
      <c r="J13" s="12">
        <f t="shared" ref="J13:J52" si="1">B13/G13</f>
        <v>0.75</v>
      </c>
    </row>
    <row r="14" spans="1:11">
      <c r="A14" s="11" t="s">
        <v>424</v>
      </c>
      <c r="B14" s="65">
        <v>7000</v>
      </c>
      <c r="D14" s="35">
        <v>4953.71</v>
      </c>
      <c r="E14" s="1">
        <v>2473.52</v>
      </c>
      <c r="F14" s="1">
        <f t="shared" si="0"/>
        <v>7427.23</v>
      </c>
      <c r="G14" s="1">
        <v>7000</v>
      </c>
      <c r="H14" s="1">
        <v>7006.35</v>
      </c>
      <c r="I14" s="1">
        <v>6178.85</v>
      </c>
      <c r="J14" s="12">
        <f t="shared" si="1"/>
        <v>1</v>
      </c>
    </row>
    <row r="15" spans="1:11">
      <c r="A15" s="11" t="s">
        <v>425</v>
      </c>
      <c r="B15" s="65">
        <v>50</v>
      </c>
      <c r="D15" s="35">
        <v>10.4</v>
      </c>
      <c r="E15" s="1">
        <v>0</v>
      </c>
      <c r="F15" s="1">
        <f t="shared" si="0"/>
        <v>10.4</v>
      </c>
      <c r="G15" s="1">
        <v>50</v>
      </c>
      <c r="H15" s="1">
        <v>10.029999999999999</v>
      </c>
      <c r="I15" s="1">
        <v>29.12</v>
      </c>
      <c r="J15" s="12">
        <f t="shared" si="1"/>
        <v>1</v>
      </c>
    </row>
    <row r="16" spans="1:11">
      <c r="A16" s="11" t="s">
        <v>426</v>
      </c>
      <c r="B16" s="65">
        <v>60000</v>
      </c>
      <c r="D16" s="35">
        <v>47000</v>
      </c>
      <c r="E16" s="1">
        <v>12437.7</v>
      </c>
      <c r="F16" s="1">
        <f t="shared" si="0"/>
        <v>59437.7</v>
      </c>
      <c r="G16" s="1">
        <v>60000</v>
      </c>
      <c r="H16" s="1">
        <v>59437.7</v>
      </c>
      <c r="I16" s="1">
        <v>58245.45</v>
      </c>
      <c r="J16" s="12">
        <f t="shared" si="1"/>
        <v>1</v>
      </c>
    </row>
    <row r="17" spans="1:11">
      <c r="A17" s="11" t="s">
        <v>933</v>
      </c>
      <c r="B17" s="65">
        <v>5000</v>
      </c>
      <c r="D17" s="35">
        <v>25994</v>
      </c>
      <c r="E17" s="1">
        <v>0</v>
      </c>
      <c r="F17" s="1">
        <f t="shared" si="0"/>
        <v>25994</v>
      </c>
      <c r="G17" s="1">
        <v>30000</v>
      </c>
      <c r="H17" s="1">
        <v>51526</v>
      </c>
      <c r="I17" s="1">
        <v>51525</v>
      </c>
      <c r="J17" s="12">
        <f t="shared" si="1"/>
        <v>0.16666666666666666</v>
      </c>
    </row>
    <row r="18" spans="1:11">
      <c r="A18" s="11" t="s">
        <v>427</v>
      </c>
      <c r="B18" s="65">
        <v>12000</v>
      </c>
      <c r="D18" s="1">
        <v>30</v>
      </c>
      <c r="E18" s="1">
        <v>9876.1200000000008</v>
      </c>
      <c r="F18" s="1">
        <f t="shared" si="0"/>
        <v>9906.1200000000008</v>
      </c>
      <c r="G18" s="1">
        <v>10000</v>
      </c>
      <c r="H18" s="1">
        <v>10248.870000000001</v>
      </c>
      <c r="I18" s="1">
        <v>11373.38</v>
      </c>
      <c r="J18" s="12">
        <f t="shared" si="1"/>
        <v>1.2</v>
      </c>
    </row>
    <row r="19" spans="1:11">
      <c r="A19" s="11" t="s">
        <v>428</v>
      </c>
      <c r="B19" s="65">
        <v>4500</v>
      </c>
      <c r="D19" s="35">
        <v>1427.4</v>
      </c>
      <c r="E19" s="1">
        <v>8000.52</v>
      </c>
      <c r="F19" s="1">
        <f t="shared" si="0"/>
        <v>9427.92</v>
      </c>
      <c r="G19" s="1">
        <v>5000</v>
      </c>
      <c r="H19" s="1">
        <v>11340.97</v>
      </c>
      <c r="I19" s="1">
        <v>1589.97</v>
      </c>
      <c r="J19" s="12">
        <f t="shared" si="1"/>
        <v>0.9</v>
      </c>
    </row>
    <row r="20" spans="1:11">
      <c r="A20" s="11" t="s">
        <v>429</v>
      </c>
      <c r="B20" s="65">
        <v>5000</v>
      </c>
      <c r="D20" s="35">
        <v>1802.86</v>
      </c>
      <c r="E20" s="1">
        <v>2500</v>
      </c>
      <c r="F20" s="1">
        <f t="shared" si="0"/>
        <v>4302.8599999999997</v>
      </c>
      <c r="G20" s="1">
        <v>5000</v>
      </c>
      <c r="I20" s="1">
        <v>3390</v>
      </c>
      <c r="J20" s="12">
        <f t="shared" si="1"/>
        <v>1</v>
      </c>
    </row>
    <row r="21" spans="1:11">
      <c r="A21" s="11" t="s">
        <v>430</v>
      </c>
      <c r="B21" s="65">
        <v>25000</v>
      </c>
      <c r="D21" s="35">
        <v>18603.28</v>
      </c>
      <c r="E21" s="1">
        <v>4192.2</v>
      </c>
      <c r="F21" s="1">
        <f t="shared" si="0"/>
        <v>22795.48</v>
      </c>
      <c r="G21" s="1">
        <v>15000</v>
      </c>
      <c r="H21" s="1">
        <v>15788.58</v>
      </c>
      <c r="I21" s="1">
        <v>2918.53</v>
      </c>
      <c r="J21" s="12">
        <f t="shared" si="1"/>
        <v>1.6666666666666667</v>
      </c>
    </row>
    <row r="22" spans="1:11">
      <c r="A22" s="11" t="s">
        <v>431</v>
      </c>
      <c r="B22" s="65">
        <v>0</v>
      </c>
      <c r="D22" s="35">
        <v>4019.41</v>
      </c>
      <c r="E22" s="1">
        <v>0</v>
      </c>
      <c r="F22" s="1">
        <f t="shared" si="0"/>
        <v>4019.41</v>
      </c>
      <c r="I22" s="1">
        <v>5730.04</v>
      </c>
      <c r="J22" s="12"/>
    </row>
    <row r="23" spans="1:11">
      <c r="A23" s="11" t="s">
        <v>432</v>
      </c>
      <c r="B23" s="65">
        <v>1000</v>
      </c>
      <c r="D23" s="35"/>
      <c r="E23" s="1">
        <v>0</v>
      </c>
      <c r="F23" s="1">
        <f t="shared" si="0"/>
        <v>0</v>
      </c>
      <c r="G23" s="1">
        <v>1000</v>
      </c>
      <c r="I23" s="1">
        <v>81</v>
      </c>
      <c r="J23" s="12">
        <f t="shared" si="1"/>
        <v>1</v>
      </c>
    </row>
    <row r="24" spans="1:11">
      <c r="A24" s="11" t="s">
        <v>433</v>
      </c>
      <c r="B24" s="65">
        <v>0</v>
      </c>
      <c r="D24" s="35">
        <v>860.53</v>
      </c>
      <c r="E24" s="1">
        <v>0</v>
      </c>
      <c r="F24" s="1">
        <f t="shared" si="0"/>
        <v>860.53</v>
      </c>
      <c r="H24" s="1">
        <v>613.80999999999995</v>
      </c>
      <c r="I24" s="1">
        <v>262.07</v>
      </c>
      <c r="J24" s="12"/>
    </row>
    <row r="25" spans="1:11">
      <c r="A25" s="11" t="s">
        <v>434</v>
      </c>
      <c r="B25" s="65">
        <v>0</v>
      </c>
      <c r="E25" s="1">
        <v>0</v>
      </c>
      <c r="F25" s="1">
        <f t="shared" si="0"/>
        <v>0</v>
      </c>
      <c r="I25" s="1">
        <v>53.88</v>
      </c>
      <c r="J25" s="12"/>
    </row>
    <row r="26" spans="1:11">
      <c r="A26" s="11" t="s">
        <v>435</v>
      </c>
      <c r="B26" s="65">
        <v>0</v>
      </c>
      <c r="E26" s="1">
        <v>0</v>
      </c>
      <c r="F26" s="1">
        <f t="shared" si="0"/>
        <v>0</v>
      </c>
      <c r="I26" s="1">
        <v>16.95</v>
      </c>
      <c r="J26" s="12"/>
    </row>
    <row r="27" spans="1:11">
      <c r="A27" s="11" t="s">
        <v>436</v>
      </c>
      <c r="B27" s="65">
        <v>1500</v>
      </c>
      <c r="E27" s="1">
        <v>552.17999999999995</v>
      </c>
      <c r="F27" s="1">
        <f t="shared" si="0"/>
        <v>552.17999999999995</v>
      </c>
      <c r="G27" s="1">
        <v>1500</v>
      </c>
      <c r="H27" s="1">
        <v>552.17999999999995</v>
      </c>
      <c r="I27" s="1">
        <v>120</v>
      </c>
      <c r="J27" s="12">
        <f t="shared" si="1"/>
        <v>1</v>
      </c>
    </row>
    <row r="28" spans="1:11">
      <c r="A28" s="11" t="s">
        <v>437</v>
      </c>
      <c r="B28" s="65">
        <v>10000</v>
      </c>
      <c r="D28" s="35">
        <v>2820</v>
      </c>
      <c r="E28" s="1">
        <v>11831.54</v>
      </c>
      <c r="F28" s="1">
        <f t="shared" si="0"/>
        <v>14651.54</v>
      </c>
      <c r="G28" s="1">
        <v>10000</v>
      </c>
      <c r="H28" s="1">
        <v>14051.54</v>
      </c>
      <c r="I28" s="1">
        <v>-1825</v>
      </c>
      <c r="J28" s="12">
        <f t="shared" si="1"/>
        <v>1</v>
      </c>
    </row>
    <row r="29" spans="1:11">
      <c r="A29" s="11" t="s">
        <v>438</v>
      </c>
      <c r="B29" s="65">
        <v>0</v>
      </c>
      <c r="D29" s="35">
        <v>3903.06</v>
      </c>
      <c r="E29" s="1">
        <v>0</v>
      </c>
      <c r="F29" s="1">
        <f t="shared" si="0"/>
        <v>3903.06</v>
      </c>
      <c r="I29" s="1">
        <v>16365</v>
      </c>
      <c r="J29" s="12"/>
    </row>
    <row r="30" spans="1:11">
      <c r="A30" s="11" t="s">
        <v>439</v>
      </c>
      <c r="B30" s="65">
        <v>10000</v>
      </c>
      <c r="D30" s="35">
        <v>9518.5</v>
      </c>
      <c r="E30" s="1">
        <v>0</v>
      </c>
      <c r="F30" s="1">
        <f t="shared" si="0"/>
        <v>9518.5</v>
      </c>
      <c r="G30" s="1">
        <v>10000</v>
      </c>
      <c r="H30" s="1">
        <v>6375</v>
      </c>
      <c r="I30" s="1">
        <v>4567.8</v>
      </c>
      <c r="J30" s="12">
        <f t="shared" si="1"/>
        <v>1</v>
      </c>
    </row>
    <row r="31" spans="1:11">
      <c r="A31" s="11" t="s">
        <v>440</v>
      </c>
      <c r="B31" s="65">
        <v>5000</v>
      </c>
      <c r="D31" s="35">
        <v>2748.15</v>
      </c>
      <c r="E31" s="1">
        <v>0</v>
      </c>
      <c r="F31" s="1">
        <f t="shared" si="0"/>
        <v>2748.15</v>
      </c>
      <c r="G31" s="1">
        <v>5000</v>
      </c>
      <c r="I31" s="1">
        <v>818.25</v>
      </c>
      <c r="J31" s="12">
        <f t="shared" si="1"/>
        <v>1</v>
      </c>
      <c r="K31" t="s">
        <v>834</v>
      </c>
    </row>
    <row r="32" spans="1:11">
      <c r="A32" s="11" t="s">
        <v>441</v>
      </c>
      <c r="B32" s="65">
        <v>2000</v>
      </c>
      <c r="D32" s="35">
        <v>1500</v>
      </c>
      <c r="E32" s="1">
        <v>0</v>
      </c>
      <c r="F32" s="1">
        <f t="shared" si="0"/>
        <v>1500</v>
      </c>
      <c r="G32" s="1">
        <v>2000</v>
      </c>
      <c r="H32" s="1">
        <v>1500</v>
      </c>
      <c r="I32" s="1">
        <v>1039.5999999999999</v>
      </c>
      <c r="J32" s="12">
        <f t="shared" si="1"/>
        <v>1</v>
      </c>
    </row>
    <row r="33" spans="1:10">
      <c r="A33" s="11" t="s">
        <v>442</v>
      </c>
      <c r="B33" s="65">
        <v>17000</v>
      </c>
      <c r="D33" s="35">
        <v>13829.81</v>
      </c>
      <c r="E33" s="1">
        <v>6032.92</v>
      </c>
      <c r="F33" s="1">
        <f t="shared" si="0"/>
        <v>19862.73</v>
      </c>
      <c r="G33" s="1">
        <v>15000</v>
      </c>
      <c r="H33" s="1">
        <v>15727.39</v>
      </c>
      <c r="I33" s="1">
        <v>15443.93</v>
      </c>
      <c r="J33" s="12">
        <f t="shared" si="1"/>
        <v>1.1333333333333333</v>
      </c>
    </row>
    <row r="34" spans="1:10">
      <c r="A34" s="11" t="s">
        <v>443</v>
      </c>
      <c r="B34" s="65">
        <v>12000</v>
      </c>
      <c r="D34" s="35">
        <v>668.08</v>
      </c>
      <c r="E34" s="1">
        <v>1953.47</v>
      </c>
      <c r="F34" s="1">
        <f t="shared" si="0"/>
        <v>2621.55</v>
      </c>
      <c r="G34" s="1">
        <v>12000</v>
      </c>
      <c r="H34" s="1">
        <v>6160.44</v>
      </c>
      <c r="I34" s="1">
        <v>3511.72</v>
      </c>
      <c r="J34" s="12">
        <f t="shared" si="1"/>
        <v>1</v>
      </c>
    </row>
    <row r="35" spans="1:10">
      <c r="A35" s="11" t="s">
        <v>934</v>
      </c>
      <c r="B35" s="65">
        <v>8000</v>
      </c>
      <c r="E35" s="1">
        <v>0</v>
      </c>
      <c r="F35" s="1">
        <f t="shared" si="0"/>
        <v>0</v>
      </c>
      <c r="H35" s="1">
        <v>28.1</v>
      </c>
      <c r="J35" s="12"/>
    </row>
    <row r="36" spans="1:10">
      <c r="A36" s="11" t="s">
        <v>444</v>
      </c>
      <c r="B36" s="65">
        <v>500</v>
      </c>
      <c r="D36" s="35">
        <v>143.85</v>
      </c>
      <c r="E36" s="1">
        <v>0</v>
      </c>
      <c r="F36" s="1">
        <f t="shared" si="0"/>
        <v>143.85</v>
      </c>
      <c r="G36" s="1">
        <v>500</v>
      </c>
      <c r="H36" s="1">
        <v>100</v>
      </c>
      <c r="I36" s="1">
        <v>173.12</v>
      </c>
      <c r="J36" s="12">
        <f t="shared" si="1"/>
        <v>1</v>
      </c>
    </row>
    <row r="37" spans="1:10">
      <c r="A37" s="11" t="s">
        <v>445</v>
      </c>
      <c r="B37" s="65">
        <v>1500</v>
      </c>
      <c r="D37" s="35">
        <v>621</v>
      </c>
      <c r="E37" s="1">
        <v>53.87</v>
      </c>
      <c r="F37" s="1">
        <f t="shared" si="0"/>
        <v>674.87</v>
      </c>
      <c r="G37" s="1">
        <v>1500</v>
      </c>
      <c r="H37" s="1">
        <v>470.25</v>
      </c>
      <c r="I37" s="1">
        <v>662.7</v>
      </c>
      <c r="J37" s="12">
        <f t="shared" si="1"/>
        <v>1</v>
      </c>
    </row>
    <row r="38" spans="1:10">
      <c r="A38" s="11" t="s">
        <v>446</v>
      </c>
      <c r="B38" s="65">
        <v>750</v>
      </c>
      <c r="D38" s="35">
        <v>287.11</v>
      </c>
      <c r="E38" s="1">
        <v>330.57</v>
      </c>
      <c r="F38" s="1">
        <f t="shared" si="0"/>
        <v>617.68000000000006</v>
      </c>
      <c r="G38" s="1">
        <v>750</v>
      </c>
      <c r="H38" s="1">
        <v>533.11</v>
      </c>
      <c r="I38" s="1">
        <v>376.16</v>
      </c>
      <c r="J38" s="12">
        <f t="shared" si="1"/>
        <v>1</v>
      </c>
    </row>
    <row r="39" spans="1:10">
      <c r="A39" s="11" t="s">
        <v>447</v>
      </c>
      <c r="B39" s="65">
        <v>1500</v>
      </c>
      <c r="D39" s="35">
        <v>414.76</v>
      </c>
      <c r="E39" s="1">
        <v>1181.74</v>
      </c>
      <c r="F39" s="1">
        <f t="shared" si="0"/>
        <v>1596.5</v>
      </c>
      <c r="G39" s="1">
        <v>1500</v>
      </c>
      <c r="H39" s="1">
        <v>1995.86</v>
      </c>
      <c r="I39" s="1">
        <v>2068.0700000000002</v>
      </c>
      <c r="J39" s="12">
        <f t="shared" si="1"/>
        <v>1</v>
      </c>
    </row>
    <row r="40" spans="1:10">
      <c r="A40" s="11" t="s">
        <v>448</v>
      </c>
      <c r="B40" s="65">
        <v>750</v>
      </c>
      <c r="D40" s="35">
        <v>293.3</v>
      </c>
      <c r="E40" s="1">
        <v>399.07</v>
      </c>
      <c r="F40" s="1">
        <f t="shared" si="0"/>
        <v>692.37</v>
      </c>
      <c r="G40" s="1">
        <v>750</v>
      </c>
      <c r="H40" s="1">
        <v>625.85</v>
      </c>
      <c r="I40" s="1">
        <v>341.24</v>
      </c>
      <c r="J40" s="12">
        <f t="shared" si="1"/>
        <v>1</v>
      </c>
    </row>
    <row r="41" spans="1:10">
      <c r="A41" s="11" t="s">
        <v>449</v>
      </c>
      <c r="B41" s="65">
        <v>9000</v>
      </c>
      <c r="D41" s="35">
        <v>5152.46</v>
      </c>
      <c r="E41" s="1">
        <v>500</v>
      </c>
      <c r="F41" s="1">
        <f t="shared" si="0"/>
        <v>5652.46</v>
      </c>
      <c r="G41" s="1">
        <v>12000</v>
      </c>
      <c r="H41" s="1">
        <v>9293.3700000000008</v>
      </c>
      <c r="I41" s="1">
        <v>12405.45</v>
      </c>
      <c r="J41" s="12">
        <f t="shared" si="1"/>
        <v>0.75</v>
      </c>
    </row>
    <row r="42" spans="1:10">
      <c r="A42" s="11" t="s">
        <v>450</v>
      </c>
      <c r="B42" s="65">
        <v>2500</v>
      </c>
      <c r="D42" s="35">
        <v>2320.6999999999998</v>
      </c>
      <c r="E42" s="1">
        <v>0</v>
      </c>
      <c r="F42" s="1">
        <f t="shared" si="0"/>
        <v>2320.6999999999998</v>
      </c>
      <c r="G42" s="1">
        <v>2000</v>
      </c>
      <c r="H42" s="1">
        <v>799.97</v>
      </c>
      <c r="I42" s="1">
        <v>2436</v>
      </c>
      <c r="J42" s="12">
        <f t="shared" si="1"/>
        <v>1.25</v>
      </c>
    </row>
    <row r="43" spans="1:10">
      <c r="A43" s="11" t="s">
        <v>451</v>
      </c>
      <c r="B43" s="65">
        <v>20000</v>
      </c>
      <c r="D43" s="35">
        <v>13472.05</v>
      </c>
      <c r="E43" s="1">
        <v>6426.92</v>
      </c>
      <c r="F43" s="1">
        <f t="shared" si="0"/>
        <v>19898.97</v>
      </c>
      <c r="G43" s="1">
        <v>20000</v>
      </c>
      <c r="H43" s="1">
        <v>24343.88</v>
      </c>
      <c r="I43" s="1">
        <v>18698.45</v>
      </c>
      <c r="J43" s="12">
        <f t="shared" si="1"/>
        <v>1</v>
      </c>
    </row>
    <row r="44" spans="1:10">
      <c r="A44" s="11" t="s">
        <v>452</v>
      </c>
      <c r="B44" s="65">
        <v>1250</v>
      </c>
      <c r="E44" s="1">
        <v>0</v>
      </c>
      <c r="F44" s="1">
        <f t="shared" si="0"/>
        <v>0</v>
      </c>
      <c r="G44" s="1">
        <v>750</v>
      </c>
      <c r="J44" s="12">
        <f t="shared" si="1"/>
        <v>1.6666666666666667</v>
      </c>
    </row>
    <row r="45" spans="1:10">
      <c r="A45" s="11" t="s">
        <v>453</v>
      </c>
      <c r="B45" s="65">
        <v>0</v>
      </c>
      <c r="E45" s="1">
        <v>0</v>
      </c>
      <c r="F45" s="1">
        <f t="shared" si="0"/>
        <v>0</v>
      </c>
      <c r="I45" s="1">
        <v>2179.36</v>
      </c>
      <c r="J45" s="12"/>
    </row>
    <row r="46" spans="1:10">
      <c r="A46" s="11" t="s">
        <v>454</v>
      </c>
      <c r="B46" s="65">
        <v>0</v>
      </c>
      <c r="D46" s="1">
        <v>69.3</v>
      </c>
      <c r="E46" s="1">
        <v>0</v>
      </c>
      <c r="F46" s="1">
        <f t="shared" si="0"/>
        <v>69.3</v>
      </c>
      <c r="J46" s="12"/>
    </row>
    <row r="47" spans="1:10">
      <c r="A47" s="11" t="s">
        <v>455</v>
      </c>
      <c r="B47" s="65">
        <v>225000</v>
      </c>
      <c r="D47" s="35">
        <v>142780.12</v>
      </c>
      <c r="E47" s="1">
        <v>84498.39</v>
      </c>
      <c r="F47" s="1">
        <f t="shared" si="0"/>
        <v>227278.51</v>
      </c>
      <c r="G47" s="1">
        <v>205000</v>
      </c>
      <c r="H47" s="1">
        <v>211178.82</v>
      </c>
      <c r="I47" s="1">
        <v>193124.41</v>
      </c>
      <c r="J47" s="12">
        <f t="shared" si="1"/>
        <v>1.0975609756097562</v>
      </c>
    </row>
    <row r="48" spans="1:10">
      <c r="A48" s="11" t="s">
        <v>456</v>
      </c>
      <c r="B48" s="65">
        <v>20000</v>
      </c>
      <c r="D48" s="35">
        <v>11645.09</v>
      </c>
      <c r="E48" s="1">
        <v>6823.71</v>
      </c>
      <c r="F48" s="1">
        <f t="shared" si="0"/>
        <v>18468.8</v>
      </c>
      <c r="G48" s="1">
        <v>20000</v>
      </c>
      <c r="H48" s="1">
        <v>18326.82</v>
      </c>
      <c r="I48" s="1">
        <v>18251.189999999999</v>
      </c>
      <c r="J48" s="12">
        <f t="shared" si="1"/>
        <v>1</v>
      </c>
    </row>
    <row r="49" spans="1:11">
      <c r="A49" s="11" t="s">
        <v>457</v>
      </c>
      <c r="B49" s="115">
        <v>980</v>
      </c>
      <c r="D49" s="35">
        <v>346.36</v>
      </c>
      <c r="E49" s="1">
        <v>432.11</v>
      </c>
      <c r="F49" s="1">
        <f t="shared" si="0"/>
        <v>778.47</v>
      </c>
      <c r="G49" s="1">
        <v>1720</v>
      </c>
      <c r="H49" s="1">
        <v>1296.3499999999999</v>
      </c>
      <c r="I49" s="1">
        <v>1296.3499999999999</v>
      </c>
      <c r="J49" s="12">
        <f t="shared" si="1"/>
        <v>0.56976744186046513</v>
      </c>
    </row>
    <row r="50" spans="1:11">
      <c r="A50" s="11" t="s">
        <v>458</v>
      </c>
      <c r="B50" s="65"/>
      <c r="E50" s="1">
        <v>0</v>
      </c>
      <c r="F50" s="1">
        <f t="shared" si="0"/>
        <v>0</v>
      </c>
      <c r="I50" s="1">
        <v>131.07</v>
      </c>
      <c r="J50" s="12"/>
    </row>
    <row r="51" spans="1:11">
      <c r="B51" s="66" t="s">
        <v>21</v>
      </c>
      <c r="D51" s="13" t="s">
        <v>21</v>
      </c>
      <c r="E51" s="13"/>
      <c r="F51" s="13" t="s">
        <v>21</v>
      </c>
      <c r="G51" s="13" t="s">
        <v>21</v>
      </c>
      <c r="H51" s="13" t="s">
        <v>21</v>
      </c>
      <c r="I51" s="13" t="s">
        <v>21</v>
      </c>
      <c r="J51" s="13" t="s">
        <v>21</v>
      </c>
    </row>
    <row r="52" spans="1:11">
      <c r="A52" s="11" t="s">
        <v>22</v>
      </c>
      <c r="B52" s="65">
        <f>SUM(B11:B50)</f>
        <v>469530</v>
      </c>
      <c r="C52" s="11"/>
      <c r="D52" s="1">
        <f>SUM(D11:D50)</f>
        <v>309957.17</v>
      </c>
      <c r="E52" s="1">
        <f>SUM(E11:E50)</f>
        <v>155786.52999999997</v>
      </c>
      <c r="F52" s="1">
        <f>SUM(F11:F50)</f>
        <v>465743.6999999999</v>
      </c>
      <c r="G52" s="1">
        <v>456020</v>
      </c>
      <c r="H52" s="1">
        <v>461483.39</v>
      </c>
      <c r="I52" s="1">
        <v>428234.48</v>
      </c>
      <c r="J52" s="12">
        <f t="shared" si="1"/>
        <v>1.0296258936011577</v>
      </c>
      <c r="K52" s="11"/>
    </row>
    <row r="53" spans="1:11">
      <c r="B53" s="66" t="s">
        <v>21</v>
      </c>
      <c r="D53" s="13" t="s">
        <v>21</v>
      </c>
      <c r="E53" s="13"/>
      <c r="F53" s="13" t="s">
        <v>21</v>
      </c>
      <c r="G53" s="13" t="s">
        <v>21</v>
      </c>
      <c r="H53" s="13" t="s">
        <v>21</v>
      </c>
      <c r="I53" s="13" t="s">
        <v>21</v>
      </c>
      <c r="J53" s="13" t="s">
        <v>21</v>
      </c>
    </row>
    <row r="54" spans="1:11">
      <c r="B54" s="64"/>
      <c r="K54" t="s">
        <v>930</v>
      </c>
    </row>
    <row r="56" spans="1:11">
      <c r="A56" s="62" t="s">
        <v>835</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K29"/>
  <sheetViews>
    <sheetView workbookViewId="0">
      <pane ySplit="8" topLeftCell="A9" activePane="bottomLeft" state="frozenSplit"/>
      <selection pane="bottomLeft" activeCell="A39" sqref="A39"/>
    </sheetView>
  </sheetViews>
  <sheetFormatPr defaultColWidth="9.1640625" defaultRowHeight="12.75"/>
  <cols>
    <col min="1" max="1" width="46.5" customWidth="1"/>
    <col min="2" max="2" width="14.5" customWidth="1"/>
    <col min="3" max="3" width="4" customWidth="1"/>
    <col min="4" max="9" width="14.5" style="1" customWidth="1"/>
    <col min="10" max="10" width="10" style="2" customWidth="1"/>
    <col min="11" max="11" width="55.5" customWidth="1"/>
  </cols>
  <sheetData>
    <row r="1" spans="1:11" ht="15">
      <c r="A1" s="125" t="s">
        <v>0</v>
      </c>
      <c r="B1" s="125"/>
      <c r="C1" s="125"/>
      <c r="D1" s="125"/>
      <c r="E1" s="125"/>
      <c r="F1" s="125"/>
      <c r="G1" s="125"/>
      <c r="H1" s="125"/>
      <c r="I1" s="125"/>
      <c r="J1" s="125"/>
      <c r="K1" s="4"/>
    </row>
    <row r="2" spans="1:11">
      <c r="A2" s="126" t="s">
        <v>965</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459</v>
      </c>
      <c r="B11" s="65">
        <v>0</v>
      </c>
      <c r="E11" s="1">
        <v>0</v>
      </c>
      <c r="F11" s="1">
        <f>D11+E11</f>
        <v>0</v>
      </c>
      <c r="H11" s="1">
        <v>-500</v>
      </c>
      <c r="J11" s="12"/>
    </row>
    <row r="12" spans="1:11">
      <c r="A12" s="11" t="s">
        <v>460</v>
      </c>
      <c r="B12" s="65">
        <v>50</v>
      </c>
      <c r="E12" s="1">
        <v>0.52</v>
      </c>
      <c r="F12" s="1">
        <f t="shared" ref="F12:F23" si="0">D12+E12</f>
        <v>0.52</v>
      </c>
      <c r="G12" s="1">
        <v>75</v>
      </c>
      <c r="H12" s="1">
        <v>16.34</v>
      </c>
      <c r="J12" s="12">
        <f t="shared" ref="J12:J25" si="1">B12/G12</f>
        <v>0.66666666666666663</v>
      </c>
      <c r="K12" t="s">
        <v>836</v>
      </c>
    </row>
    <row r="13" spans="1:11">
      <c r="A13" s="11" t="s">
        <v>461</v>
      </c>
      <c r="B13" s="65">
        <v>0</v>
      </c>
      <c r="E13" s="1">
        <v>0</v>
      </c>
      <c r="F13" s="1">
        <f t="shared" si="0"/>
        <v>0</v>
      </c>
      <c r="H13" s="1">
        <v>9.43</v>
      </c>
      <c r="J13" s="12"/>
    </row>
    <row r="14" spans="1:11">
      <c r="A14" s="11" t="s">
        <v>462</v>
      </c>
      <c r="B14" s="65">
        <v>140</v>
      </c>
      <c r="D14" s="35">
        <v>100.44</v>
      </c>
      <c r="E14" s="1">
        <v>37.72</v>
      </c>
      <c r="F14" s="1">
        <f t="shared" si="0"/>
        <v>138.16</v>
      </c>
      <c r="G14" s="1">
        <v>120</v>
      </c>
      <c r="H14" s="1">
        <v>103.73</v>
      </c>
      <c r="I14" s="1">
        <v>423.6</v>
      </c>
      <c r="J14" s="12">
        <f t="shared" si="1"/>
        <v>1.1666666666666667</v>
      </c>
    </row>
    <row r="15" spans="1:11">
      <c r="A15" s="11" t="s">
        <v>463</v>
      </c>
      <c r="B15" s="65">
        <v>40</v>
      </c>
      <c r="D15" s="35">
        <v>0.63</v>
      </c>
      <c r="E15" s="1">
        <v>0</v>
      </c>
      <c r="F15" s="1">
        <f t="shared" si="0"/>
        <v>0.63</v>
      </c>
      <c r="G15" s="1">
        <v>50</v>
      </c>
      <c r="H15" s="1">
        <v>4.7699999999999996</v>
      </c>
      <c r="I15" s="1">
        <v>301.47000000000003</v>
      </c>
      <c r="J15" s="12">
        <f t="shared" si="1"/>
        <v>0.8</v>
      </c>
      <c r="K15" t="s">
        <v>837</v>
      </c>
    </row>
    <row r="16" spans="1:11">
      <c r="A16" s="11" t="s">
        <v>464</v>
      </c>
      <c r="B16" s="65">
        <v>1500</v>
      </c>
      <c r="D16" s="35">
        <v>190.33</v>
      </c>
      <c r="E16" s="1">
        <v>800.3</v>
      </c>
      <c r="F16" s="1">
        <f t="shared" si="0"/>
        <v>990.63</v>
      </c>
      <c r="G16" s="1">
        <v>1500</v>
      </c>
      <c r="H16" s="1">
        <v>976.26</v>
      </c>
      <c r="I16" s="1">
        <v>441.78</v>
      </c>
      <c r="J16" s="12">
        <f t="shared" si="1"/>
        <v>1</v>
      </c>
      <c r="K16" t="s">
        <v>838</v>
      </c>
    </row>
    <row r="17" spans="1:11">
      <c r="A17" s="11" t="s">
        <v>465</v>
      </c>
      <c r="B17" s="65">
        <v>300</v>
      </c>
      <c r="D17" s="35"/>
      <c r="E17" s="1">
        <v>238.62</v>
      </c>
      <c r="F17" s="1">
        <f t="shared" si="0"/>
        <v>238.62</v>
      </c>
      <c r="G17" s="1">
        <v>250</v>
      </c>
      <c r="H17" s="1">
        <v>319.85000000000002</v>
      </c>
      <c r="I17" s="1">
        <v>237.95</v>
      </c>
      <c r="J17" s="12">
        <f t="shared" si="1"/>
        <v>1.2</v>
      </c>
      <c r="K17" t="s">
        <v>839</v>
      </c>
    </row>
    <row r="18" spans="1:11">
      <c r="A18" s="11" t="s">
        <v>466</v>
      </c>
      <c r="B18" s="65">
        <v>2000</v>
      </c>
      <c r="D18" s="35">
        <v>995.85</v>
      </c>
      <c r="E18" s="1">
        <v>357.31</v>
      </c>
      <c r="F18" s="1">
        <f t="shared" si="0"/>
        <v>1353.16</v>
      </c>
      <c r="G18" s="1">
        <v>2000</v>
      </c>
      <c r="H18" s="1">
        <v>1137.81</v>
      </c>
      <c r="I18" s="1">
        <v>505.59</v>
      </c>
      <c r="J18" s="12">
        <f t="shared" si="1"/>
        <v>1</v>
      </c>
      <c r="K18" t="s">
        <v>840</v>
      </c>
    </row>
    <row r="19" spans="1:11">
      <c r="A19" s="11" t="s">
        <v>467</v>
      </c>
      <c r="B19" s="65">
        <v>150</v>
      </c>
      <c r="D19" s="35">
        <v>112.01</v>
      </c>
      <c r="E19" s="1">
        <f>-576.3+675</f>
        <v>98.700000000000045</v>
      </c>
      <c r="F19" s="1">
        <f t="shared" si="0"/>
        <v>210.71000000000004</v>
      </c>
      <c r="G19" s="1">
        <v>150</v>
      </c>
      <c r="J19" s="12">
        <f t="shared" si="1"/>
        <v>1</v>
      </c>
      <c r="K19" t="s">
        <v>841</v>
      </c>
    </row>
    <row r="20" spans="1:11">
      <c r="A20" s="11" t="s">
        <v>468</v>
      </c>
      <c r="B20" s="65">
        <v>150</v>
      </c>
      <c r="D20" s="35">
        <v>127.18</v>
      </c>
      <c r="E20" s="1">
        <v>0</v>
      </c>
      <c r="F20" s="1">
        <f t="shared" si="0"/>
        <v>127.18</v>
      </c>
      <c r="G20" s="1">
        <v>150</v>
      </c>
      <c r="J20" s="12">
        <f t="shared" si="1"/>
        <v>1</v>
      </c>
      <c r="K20" t="s">
        <v>841</v>
      </c>
    </row>
    <row r="21" spans="1:11">
      <c r="A21" s="11" t="s">
        <v>469</v>
      </c>
      <c r="B21" s="77">
        <v>24000</v>
      </c>
      <c r="D21" s="35">
        <v>15682.78</v>
      </c>
      <c r="E21" s="1">
        <v>9573.77</v>
      </c>
      <c r="F21" s="1">
        <f t="shared" si="0"/>
        <v>25256.550000000003</v>
      </c>
      <c r="G21" s="1">
        <v>24000</v>
      </c>
      <c r="H21" s="1">
        <v>24232.32</v>
      </c>
      <c r="I21" s="1">
        <v>23350.94</v>
      </c>
      <c r="J21" s="12">
        <f t="shared" si="1"/>
        <v>1</v>
      </c>
    </row>
    <row r="22" spans="1:11">
      <c r="A22" s="11" t="s">
        <v>470</v>
      </c>
      <c r="B22" s="77">
        <v>1600</v>
      </c>
      <c r="D22" s="35">
        <v>1123.95</v>
      </c>
      <c r="E22" s="1">
        <v>551.58000000000004</v>
      </c>
      <c r="F22" s="1">
        <f t="shared" si="0"/>
        <v>1675.5300000000002</v>
      </c>
      <c r="G22" s="1">
        <v>1800</v>
      </c>
      <c r="H22" s="1">
        <v>1553.02</v>
      </c>
      <c r="I22" s="1">
        <v>1557.52</v>
      </c>
      <c r="J22" s="12">
        <f t="shared" si="1"/>
        <v>0.88888888888888884</v>
      </c>
    </row>
    <row r="23" spans="1:11">
      <c r="A23" s="11" t="s">
        <v>471</v>
      </c>
      <c r="B23" s="115">
        <v>260</v>
      </c>
      <c r="D23" s="35">
        <v>173.38</v>
      </c>
      <c r="E23" s="1">
        <v>86.68</v>
      </c>
      <c r="F23" s="1">
        <f t="shared" si="0"/>
        <v>260.06</v>
      </c>
      <c r="G23" s="1">
        <v>260</v>
      </c>
      <c r="H23" s="1">
        <v>260.06</v>
      </c>
      <c r="I23" s="1">
        <v>260.06</v>
      </c>
      <c r="J23" s="12">
        <f t="shared" si="1"/>
        <v>1</v>
      </c>
    </row>
    <row r="24" spans="1:11">
      <c r="B24" s="66" t="s">
        <v>21</v>
      </c>
      <c r="D24" s="13" t="s">
        <v>21</v>
      </c>
      <c r="E24" s="13"/>
      <c r="F24" s="13" t="s">
        <v>21</v>
      </c>
      <c r="G24" s="13" t="s">
        <v>21</v>
      </c>
      <c r="H24" s="13" t="s">
        <v>21</v>
      </c>
      <c r="I24" s="13" t="s">
        <v>21</v>
      </c>
      <c r="J24" s="13" t="s">
        <v>21</v>
      </c>
    </row>
    <row r="25" spans="1:11">
      <c r="A25" s="11" t="s">
        <v>22</v>
      </c>
      <c r="B25" s="65">
        <f>SUM(B11:B23)</f>
        <v>30190</v>
      </c>
      <c r="C25" s="11"/>
      <c r="D25" s="1">
        <f>SUM(D11:D23)</f>
        <v>18506.550000000003</v>
      </c>
      <c r="E25" s="1">
        <f>SUM(E11:E23)</f>
        <v>11745.2</v>
      </c>
      <c r="F25" s="1">
        <f>SUM(F11:F23)</f>
        <v>30251.750000000004</v>
      </c>
      <c r="G25" s="1">
        <v>30355</v>
      </c>
      <c r="H25" s="1">
        <v>28113.59</v>
      </c>
      <c r="I25" s="1">
        <v>27078.91</v>
      </c>
      <c r="J25" s="12">
        <f t="shared" si="1"/>
        <v>0.9945643221874485</v>
      </c>
      <c r="K25" s="11"/>
    </row>
    <row r="26" spans="1:11">
      <c r="B26" s="13" t="s">
        <v>21</v>
      </c>
      <c r="D26" s="13" t="s">
        <v>21</v>
      </c>
      <c r="E26" s="13"/>
      <c r="F26" s="13" t="s">
        <v>21</v>
      </c>
      <c r="G26" s="13" t="s">
        <v>21</v>
      </c>
      <c r="H26" s="13" t="s">
        <v>21</v>
      </c>
      <c r="I26" s="13" t="s">
        <v>21</v>
      </c>
      <c r="J26" s="13" t="s">
        <v>21</v>
      </c>
    </row>
    <row r="27" spans="1:11">
      <c r="B27" s="64"/>
    </row>
    <row r="29" spans="1:11">
      <c r="A29" t="s">
        <v>842</v>
      </c>
      <c r="J29" s="2" t="s">
        <v>930</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K25"/>
  <sheetViews>
    <sheetView workbookViewId="0">
      <pane ySplit="8" topLeftCell="A9" activePane="bottomLeft" state="frozenSplit"/>
      <selection pane="bottomLeft" activeCell="A39" sqref="A39"/>
    </sheetView>
  </sheetViews>
  <sheetFormatPr defaultColWidth="9.1640625" defaultRowHeight="12.75"/>
  <cols>
    <col min="1" max="1" width="45.5" customWidth="1"/>
    <col min="2" max="2" width="14.5" customWidth="1"/>
    <col min="3" max="3" width="3.5" customWidth="1"/>
    <col min="4" max="7" width="14.5" style="1" customWidth="1"/>
    <col min="8" max="8" width="13" style="1" customWidth="1"/>
    <col min="9" max="9" width="12.33203125" style="1" customWidth="1"/>
    <col min="10" max="10" width="10.83203125" style="2" customWidth="1"/>
    <col min="11" max="11" width="55.5" customWidth="1"/>
  </cols>
  <sheetData>
    <row r="1" spans="1:11" ht="15">
      <c r="A1" s="125" t="s">
        <v>0</v>
      </c>
      <c r="B1" s="125"/>
      <c r="C1" s="125"/>
      <c r="D1" s="125"/>
      <c r="E1" s="125"/>
      <c r="F1" s="125"/>
      <c r="G1" s="125"/>
      <c r="H1" s="125"/>
      <c r="I1" s="125"/>
      <c r="J1" s="125"/>
      <c r="K1" s="4"/>
    </row>
    <row r="2" spans="1:11">
      <c r="A2" s="126" t="s">
        <v>966</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5" t="s">
        <v>762</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4</v>
      </c>
      <c r="F7" s="43" t="s">
        <v>9</v>
      </c>
      <c r="G7" s="10" t="s">
        <v>8</v>
      </c>
      <c r="H7" s="10" t="s">
        <v>9</v>
      </c>
      <c r="I7" s="10" t="s">
        <v>9</v>
      </c>
      <c r="J7" s="10" t="s">
        <v>775</v>
      </c>
    </row>
    <row r="10" spans="1:11">
      <c r="A10" s="11" t="s">
        <v>10</v>
      </c>
      <c r="B10" s="1"/>
    </row>
    <row r="11" spans="1:11">
      <c r="A11" s="11" t="s">
        <v>472</v>
      </c>
      <c r="B11" s="65">
        <v>50</v>
      </c>
      <c r="E11" s="1">
        <v>30</v>
      </c>
      <c r="F11" s="1">
        <f>D11+E11</f>
        <v>30</v>
      </c>
      <c r="G11" s="1">
        <v>60</v>
      </c>
      <c r="J11" s="12">
        <f t="shared" ref="J11:J19" si="0">B11/G11</f>
        <v>0.83333333333333337</v>
      </c>
    </row>
    <row r="12" spans="1:11">
      <c r="A12" s="11" t="s">
        <v>473</v>
      </c>
      <c r="B12" s="65">
        <v>50</v>
      </c>
      <c r="E12" s="1">
        <v>60</v>
      </c>
      <c r="F12" s="1">
        <f t="shared" ref="F12:F17" si="1">D12+E12</f>
        <v>60</v>
      </c>
      <c r="G12" s="1">
        <v>60</v>
      </c>
      <c r="J12" s="12">
        <f t="shared" si="0"/>
        <v>0.83333333333333337</v>
      </c>
    </row>
    <row r="13" spans="1:11">
      <c r="A13" s="11" t="s">
        <v>474</v>
      </c>
      <c r="B13" s="65">
        <v>3000</v>
      </c>
      <c r="D13" s="35">
        <v>265.49</v>
      </c>
      <c r="E13" s="1">
        <f>D13*2</f>
        <v>530.98</v>
      </c>
      <c r="F13" s="1">
        <f t="shared" si="1"/>
        <v>796.47</v>
      </c>
      <c r="G13" s="1">
        <v>2000</v>
      </c>
      <c r="J13" s="12">
        <f t="shared" si="0"/>
        <v>1.5</v>
      </c>
    </row>
    <row r="14" spans="1:11">
      <c r="A14" s="11" t="s">
        <v>475</v>
      </c>
      <c r="B14" s="65">
        <v>2500</v>
      </c>
      <c r="D14" s="35">
        <v>4.9400000000000004</v>
      </c>
      <c r="E14" s="1">
        <f>D14*2</f>
        <v>9.8800000000000008</v>
      </c>
      <c r="F14" s="1">
        <f t="shared" si="1"/>
        <v>14.82</v>
      </c>
      <c r="G14" s="1">
        <v>2000</v>
      </c>
      <c r="J14" s="12">
        <f t="shared" si="0"/>
        <v>1.25</v>
      </c>
    </row>
    <row r="15" spans="1:11">
      <c r="A15" s="11" t="s">
        <v>476</v>
      </c>
      <c r="B15" s="65">
        <v>500</v>
      </c>
      <c r="D15" s="35"/>
      <c r="E15" s="1">
        <v>0</v>
      </c>
      <c r="F15" s="1">
        <f t="shared" si="1"/>
        <v>0</v>
      </c>
      <c r="G15" s="1">
        <v>500</v>
      </c>
      <c r="J15" s="12">
        <f t="shared" si="0"/>
        <v>1</v>
      </c>
    </row>
    <row r="16" spans="1:11">
      <c r="A16" s="11" t="s">
        <v>477</v>
      </c>
      <c r="B16" s="65">
        <v>6600</v>
      </c>
      <c r="D16" s="35">
        <v>2202.96</v>
      </c>
      <c r="E16" s="1">
        <f>D16*2</f>
        <v>4405.92</v>
      </c>
      <c r="F16" s="1">
        <f t="shared" si="1"/>
        <v>6608.88</v>
      </c>
      <c r="G16" s="1">
        <v>6600</v>
      </c>
      <c r="J16" s="12">
        <f t="shared" si="0"/>
        <v>1</v>
      </c>
    </row>
    <row r="17" spans="1:11">
      <c r="A17" s="11" t="s">
        <v>478</v>
      </c>
      <c r="B17" s="65">
        <v>500</v>
      </c>
      <c r="D17" s="35">
        <v>171.42</v>
      </c>
      <c r="E17" s="1">
        <f>D17*2</f>
        <v>342.84</v>
      </c>
      <c r="F17" s="1">
        <f t="shared" si="1"/>
        <v>514.26</v>
      </c>
      <c r="G17" s="1">
        <v>540</v>
      </c>
      <c r="J17" s="12">
        <f t="shared" si="0"/>
        <v>0.92592592592592593</v>
      </c>
    </row>
    <row r="18" spans="1:11">
      <c r="B18" s="66" t="s">
        <v>21</v>
      </c>
      <c r="D18" s="13" t="s">
        <v>21</v>
      </c>
      <c r="E18" s="13"/>
      <c r="F18" s="13" t="s">
        <v>21</v>
      </c>
      <c r="G18" s="13" t="s">
        <v>21</v>
      </c>
      <c r="H18" s="13" t="s">
        <v>21</v>
      </c>
      <c r="I18" s="13" t="s">
        <v>21</v>
      </c>
      <c r="J18" s="13" t="s">
        <v>21</v>
      </c>
    </row>
    <row r="19" spans="1:11">
      <c r="A19" s="11" t="s">
        <v>22</v>
      </c>
      <c r="B19" s="65">
        <f>SUM(B11:B17)</f>
        <v>13200</v>
      </c>
      <c r="C19" s="11"/>
      <c r="D19" s="1">
        <f>SUM(D11:D17)</f>
        <v>2644.81</v>
      </c>
      <c r="E19" s="1">
        <f>SUM(E11:E17)</f>
        <v>5379.62</v>
      </c>
      <c r="F19" s="1">
        <f>SUM(F11:F17)</f>
        <v>8024.43</v>
      </c>
      <c r="G19" s="1">
        <v>11760</v>
      </c>
      <c r="J19" s="12">
        <f t="shared" si="0"/>
        <v>1.1224489795918366</v>
      </c>
      <c r="K19" s="11"/>
    </row>
    <row r="20" spans="1:11">
      <c r="B20" s="13" t="s">
        <v>21</v>
      </c>
      <c r="D20" s="13" t="s">
        <v>21</v>
      </c>
      <c r="E20" s="13"/>
      <c r="F20" s="13" t="s">
        <v>21</v>
      </c>
      <c r="G20" s="13" t="s">
        <v>21</v>
      </c>
      <c r="H20" s="13" t="s">
        <v>21</v>
      </c>
      <c r="I20" s="13" t="s">
        <v>21</v>
      </c>
      <c r="J20" s="13" t="s">
        <v>21</v>
      </c>
    </row>
    <row r="21" spans="1:11">
      <c r="B21" s="64"/>
    </row>
    <row r="24" spans="1:11">
      <c r="F24" s="5"/>
    </row>
    <row r="25" spans="1:11">
      <c r="F25" s="5"/>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K39"/>
  <sheetViews>
    <sheetView workbookViewId="0">
      <pane ySplit="8" topLeftCell="A9" activePane="bottomLeft" state="frozenSplit"/>
      <selection pane="bottomLeft" activeCell="A42" sqref="A42"/>
    </sheetView>
  </sheetViews>
  <sheetFormatPr defaultColWidth="9.1640625" defaultRowHeight="12.75" outlineLevelCol="1"/>
  <cols>
    <col min="1" max="1" width="45.6640625" customWidth="1"/>
    <col min="2" max="2" width="14.5" customWidth="1"/>
    <col min="3" max="3" width="3.5" customWidth="1"/>
    <col min="4" max="5" width="14.5" style="1" hidden="1" customWidth="1" outlineLevel="1"/>
    <col min="6" max="6" width="14.5" style="1" customWidth="1" collapsed="1"/>
    <col min="7" max="9" width="14.5" style="1" customWidth="1"/>
    <col min="10" max="10" width="10.6640625" style="2" customWidth="1"/>
    <col min="11" max="11" width="55.5" customWidth="1"/>
  </cols>
  <sheetData>
    <row r="1" spans="1:11" ht="15">
      <c r="A1" s="125" t="s">
        <v>0</v>
      </c>
      <c r="B1" s="125"/>
      <c r="C1" s="125"/>
      <c r="D1" s="125"/>
      <c r="E1" s="125"/>
      <c r="F1" s="125"/>
      <c r="G1" s="125"/>
      <c r="H1" s="125"/>
      <c r="I1" s="125"/>
      <c r="J1" s="125"/>
      <c r="K1" s="4"/>
    </row>
    <row r="2" spans="1:11">
      <c r="A2" s="126" t="s">
        <v>967</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479</v>
      </c>
      <c r="B11" s="1">
        <v>0</v>
      </c>
      <c r="D11" s="1">
        <v>-4600</v>
      </c>
      <c r="E11" s="1">
        <v>0</v>
      </c>
      <c r="F11" s="1">
        <f>D11+E11</f>
        <v>-4600</v>
      </c>
      <c r="J11" s="12"/>
    </row>
    <row r="12" spans="1:11">
      <c r="A12" s="11" t="s">
        <v>480</v>
      </c>
      <c r="B12" s="1">
        <v>450</v>
      </c>
      <c r="D12" s="35">
        <v>155.94</v>
      </c>
      <c r="E12" s="1">
        <v>346.04</v>
      </c>
      <c r="F12" s="1">
        <f t="shared" ref="F12:F28" si="0">D12+E12</f>
        <v>501.98</v>
      </c>
      <c r="G12" s="1">
        <v>200</v>
      </c>
      <c r="H12" s="1">
        <v>423.79</v>
      </c>
      <c r="I12" s="1">
        <v>358.88</v>
      </c>
      <c r="J12" s="12">
        <f t="shared" ref="J12:J30" si="1">B12/G12</f>
        <v>2.25</v>
      </c>
      <c r="K12" t="s">
        <v>843</v>
      </c>
    </row>
    <row r="13" spans="1:11">
      <c r="A13" s="81" t="s">
        <v>854</v>
      </c>
      <c r="B13" s="1">
        <v>4000</v>
      </c>
      <c r="D13" s="35">
        <v>3249.9</v>
      </c>
      <c r="E13" s="1">
        <v>0</v>
      </c>
      <c r="F13" s="1">
        <f t="shared" si="0"/>
        <v>3249.9</v>
      </c>
      <c r="G13" s="1">
        <v>4000</v>
      </c>
      <c r="H13" s="1">
        <v>3222</v>
      </c>
      <c r="I13" s="1">
        <v>3527.33</v>
      </c>
      <c r="J13" s="12">
        <f t="shared" si="1"/>
        <v>1</v>
      </c>
    </row>
    <row r="14" spans="1:11">
      <c r="A14" s="11" t="s">
        <v>481</v>
      </c>
      <c r="B14" s="1">
        <v>600</v>
      </c>
      <c r="D14" s="35">
        <v>762.4</v>
      </c>
      <c r="E14" s="1">
        <v>381.69</v>
      </c>
      <c r="F14" s="1">
        <f t="shared" si="0"/>
        <v>1144.0899999999999</v>
      </c>
      <c r="G14" s="1">
        <v>524</v>
      </c>
      <c r="H14" s="1">
        <v>724.59</v>
      </c>
      <c r="I14" s="1">
        <v>426.05</v>
      </c>
      <c r="J14" s="12">
        <f t="shared" si="1"/>
        <v>1.1450381679389312</v>
      </c>
    </row>
    <row r="15" spans="1:11">
      <c r="A15" s="11" t="s">
        <v>482</v>
      </c>
      <c r="B15" s="1">
        <v>25</v>
      </c>
      <c r="D15" s="35">
        <v>0.04</v>
      </c>
      <c r="E15" s="1">
        <v>0</v>
      </c>
      <c r="F15" s="1">
        <f t="shared" si="0"/>
        <v>0.04</v>
      </c>
      <c r="G15" s="1">
        <v>24</v>
      </c>
      <c r="H15" s="1">
        <v>0.13</v>
      </c>
      <c r="I15" s="1">
        <v>1.72</v>
      </c>
      <c r="J15" s="12">
        <f t="shared" si="1"/>
        <v>1.0416666666666667</v>
      </c>
    </row>
    <row r="16" spans="1:11">
      <c r="A16" s="11" t="s">
        <v>483</v>
      </c>
      <c r="B16" s="1">
        <v>400</v>
      </c>
      <c r="D16" s="35"/>
      <c r="E16" s="1">
        <v>38.409999999999997</v>
      </c>
      <c r="F16" s="1">
        <f t="shared" si="0"/>
        <v>38.409999999999997</v>
      </c>
      <c r="G16" s="1">
        <v>500</v>
      </c>
      <c r="H16" s="1">
        <v>38.409999999999997</v>
      </c>
      <c r="I16" s="1">
        <v>468.93</v>
      </c>
      <c r="J16" s="12">
        <f t="shared" si="1"/>
        <v>0.8</v>
      </c>
      <c r="K16" t="s">
        <v>844</v>
      </c>
    </row>
    <row r="17" spans="1:11">
      <c r="A17" s="11" t="s">
        <v>484</v>
      </c>
      <c r="B17" s="1">
        <v>1000</v>
      </c>
      <c r="D17" s="35">
        <v>507.75</v>
      </c>
      <c r="E17" s="1">
        <v>428.61</v>
      </c>
      <c r="F17" s="1">
        <f t="shared" si="0"/>
        <v>936.36</v>
      </c>
      <c r="G17" s="1">
        <v>1000</v>
      </c>
      <c r="H17" s="1">
        <v>672.65</v>
      </c>
      <c r="I17" s="1">
        <v>931.9</v>
      </c>
      <c r="J17" s="12">
        <f t="shared" si="1"/>
        <v>1</v>
      </c>
    </row>
    <row r="18" spans="1:11">
      <c r="A18" s="11" t="s">
        <v>485</v>
      </c>
      <c r="B18" s="1">
        <v>55000</v>
      </c>
      <c r="D18" s="35">
        <v>40156.49</v>
      </c>
      <c r="E18" s="1">
        <f>12421.45*1.1</f>
        <v>13663.595000000001</v>
      </c>
      <c r="F18" s="1">
        <f t="shared" si="0"/>
        <v>53820.084999999999</v>
      </c>
      <c r="G18" s="1">
        <v>60000</v>
      </c>
      <c r="H18" s="1">
        <v>49698.94</v>
      </c>
      <c r="I18" s="1">
        <v>35569.82</v>
      </c>
      <c r="J18" s="12">
        <f t="shared" si="1"/>
        <v>0.91666666666666663</v>
      </c>
      <c r="K18" t="s">
        <v>845</v>
      </c>
    </row>
    <row r="19" spans="1:11">
      <c r="A19" s="11" t="s">
        <v>486</v>
      </c>
      <c r="B19" s="1">
        <v>25000</v>
      </c>
      <c r="D19" s="35">
        <v>12000</v>
      </c>
      <c r="E19" s="1">
        <f>11682*1.1</f>
        <v>12850.2</v>
      </c>
      <c r="F19" s="1">
        <f t="shared" si="0"/>
        <v>24850.2</v>
      </c>
      <c r="G19" s="1">
        <v>20000</v>
      </c>
      <c r="H19" s="1">
        <v>24426</v>
      </c>
      <c r="J19" s="12">
        <f t="shared" si="1"/>
        <v>1.25</v>
      </c>
    </row>
    <row r="20" spans="1:11">
      <c r="A20" s="11" t="s">
        <v>487</v>
      </c>
      <c r="B20" s="1">
        <v>22000</v>
      </c>
      <c r="D20" s="35">
        <v>11196</v>
      </c>
      <c r="E20" s="1">
        <v>10881</v>
      </c>
      <c r="F20" s="1">
        <f t="shared" si="0"/>
        <v>22077</v>
      </c>
      <c r="G20" s="1">
        <v>15000</v>
      </c>
      <c r="H20" s="1">
        <v>21793.5</v>
      </c>
      <c r="I20" s="1">
        <v>16284.25</v>
      </c>
      <c r="J20" s="12">
        <f t="shared" si="1"/>
        <v>1.4666666666666666</v>
      </c>
    </row>
    <row r="21" spans="1:11">
      <c r="A21" s="81" t="s">
        <v>986</v>
      </c>
      <c r="B21" s="1">
        <v>3000</v>
      </c>
      <c r="D21" s="35"/>
      <c r="J21" s="12"/>
    </row>
    <row r="22" spans="1:11">
      <c r="A22" s="11" t="s">
        <v>488</v>
      </c>
      <c r="B22" s="1">
        <v>1000</v>
      </c>
      <c r="D22" s="35">
        <v>80</v>
      </c>
      <c r="E22" s="1">
        <v>742.51</v>
      </c>
      <c r="F22" s="1">
        <f t="shared" si="0"/>
        <v>822.51</v>
      </c>
      <c r="G22" s="1">
        <v>500</v>
      </c>
      <c r="H22" s="1">
        <v>768.47</v>
      </c>
      <c r="J22" s="12">
        <f t="shared" si="1"/>
        <v>2</v>
      </c>
      <c r="K22" t="s">
        <v>846</v>
      </c>
    </row>
    <row r="23" spans="1:11">
      <c r="A23" s="11" t="s">
        <v>489</v>
      </c>
      <c r="B23" s="1">
        <v>500</v>
      </c>
      <c r="D23" s="35">
        <v>44.24</v>
      </c>
      <c r="E23" s="1">
        <v>95.17</v>
      </c>
      <c r="F23" s="1">
        <f t="shared" si="0"/>
        <v>139.41</v>
      </c>
      <c r="G23" s="1">
        <v>500</v>
      </c>
      <c r="H23" s="1">
        <v>159.07</v>
      </c>
      <c r="I23" s="1">
        <v>116.51</v>
      </c>
      <c r="J23" s="12">
        <f t="shared" si="1"/>
        <v>1</v>
      </c>
      <c r="K23" t="s">
        <v>847</v>
      </c>
    </row>
    <row r="24" spans="1:11">
      <c r="A24" s="11" t="s">
        <v>490</v>
      </c>
      <c r="B24" s="1">
        <v>250</v>
      </c>
      <c r="E24" s="1">
        <v>108.74</v>
      </c>
      <c r="F24" s="1">
        <f t="shared" si="0"/>
        <v>108.74</v>
      </c>
      <c r="G24" s="1">
        <v>500</v>
      </c>
      <c r="H24" s="1">
        <v>138.59</v>
      </c>
      <c r="J24" s="12">
        <f t="shared" si="1"/>
        <v>0.5</v>
      </c>
      <c r="K24" t="s">
        <v>848</v>
      </c>
    </row>
    <row r="25" spans="1:11">
      <c r="A25" s="11" t="s">
        <v>491</v>
      </c>
      <c r="B25" s="1">
        <v>500</v>
      </c>
      <c r="E25" s="1">
        <v>0</v>
      </c>
      <c r="F25" s="1">
        <f t="shared" si="0"/>
        <v>0</v>
      </c>
      <c r="G25" s="1">
        <v>1000</v>
      </c>
      <c r="J25" s="12">
        <f t="shared" si="1"/>
        <v>0.5</v>
      </c>
      <c r="K25" t="s">
        <v>848</v>
      </c>
    </row>
    <row r="26" spans="1:11">
      <c r="A26" s="11" t="s">
        <v>492</v>
      </c>
      <c r="B26" s="1">
        <v>108000</v>
      </c>
      <c r="D26" s="35">
        <v>67752.55</v>
      </c>
      <c r="E26" s="1">
        <v>37193.15</v>
      </c>
      <c r="F26" s="1">
        <f t="shared" si="0"/>
        <v>104945.70000000001</v>
      </c>
      <c r="G26" s="1">
        <v>105000</v>
      </c>
      <c r="H26" s="1">
        <v>96840.82</v>
      </c>
      <c r="I26" s="1">
        <v>59021.23</v>
      </c>
      <c r="J26" s="12">
        <f t="shared" si="1"/>
        <v>1.0285714285714285</v>
      </c>
    </row>
    <row r="27" spans="1:11">
      <c r="A27" s="11" t="s">
        <v>493</v>
      </c>
      <c r="B27" s="1">
        <v>9200</v>
      </c>
      <c r="D27" s="35">
        <v>5616.05</v>
      </c>
      <c r="E27" s="1">
        <v>3526.4</v>
      </c>
      <c r="F27" s="1">
        <f t="shared" si="0"/>
        <v>9142.4500000000007</v>
      </c>
      <c r="G27" s="1">
        <v>10000</v>
      </c>
      <c r="H27" s="1">
        <v>8359.7999999999993</v>
      </c>
      <c r="I27" s="1">
        <v>5686.25</v>
      </c>
      <c r="J27" s="12">
        <f t="shared" si="1"/>
        <v>0.92</v>
      </c>
    </row>
    <row r="28" spans="1:11">
      <c r="A28" s="11" t="s">
        <v>494</v>
      </c>
      <c r="B28" s="112">
        <v>2200</v>
      </c>
      <c r="D28" s="35">
        <v>457.3</v>
      </c>
      <c r="E28" s="1">
        <v>512.77</v>
      </c>
      <c r="F28" s="1">
        <f t="shared" si="0"/>
        <v>970.06999999999994</v>
      </c>
      <c r="G28" s="1">
        <v>685</v>
      </c>
      <c r="H28" s="1">
        <v>685.95</v>
      </c>
      <c r="I28" s="1">
        <v>583.84</v>
      </c>
      <c r="J28" s="12">
        <f t="shared" si="1"/>
        <v>3.2116788321167884</v>
      </c>
    </row>
    <row r="29" spans="1:11">
      <c r="B29" s="13" t="s">
        <v>21</v>
      </c>
      <c r="D29" s="13" t="s">
        <v>21</v>
      </c>
      <c r="E29" s="13"/>
      <c r="F29" s="13" t="s">
        <v>21</v>
      </c>
      <c r="G29" s="13" t="s">
        <v>21</v>
      </c>
      <c r="H29" s="13" t="s">
        <v>21</v>
      </c>
      <c r="I29" s="13" t="s">
        <v>21</v>
      </c>
      <c r="J29" s="13" t="s">
        <v>21</v>
      </c>
    </row>
    <row r="30" spans="1:11">
      <c r="A30" s="11" t="s">
        <v>22</v>
      </c>
      <c r="B30" s="1">
        <f>SUM(B11:B28)</f>
        <v>233125</v>
      </c>
      <c r="C30" s="11"/>
      <c r="D30" s="1">
        <f>SUM(D11:D28)</f>
        <v>137378.65999999997</v>
      </c>
      <c r="E30" s="1">
        <f>SUM(E11:E28)</f>
        <v>80768.284999999989</v>
      </c>
      <c r="F30" s="1">
        <f>SUM(F11:F28)</f>
        <v>218146.94500000004</v>
      </c>
      <c r="G30" s="1">
        <v>219433</v>
      </c>
      <c r="H30" s="1">
        <v>207952.71</v>
      </c>
      <c r="I30" s="1">
        <v>122976.71</v>
      </c>
      <c r="J30" s="12">
        <f t="shared" si="1"/>
        <v>1.0623971781819508</v>
      </c>
      <c r="K30" s="11"/>
    </row>
    <row r="31" spans="1:11">
      <c r="B31" s="13" t="s">
        <v>21</v>
      </c>
      <c r="D31" s="13" t="s">
        <v>21</v>
      </c>
      <c r="E31" s="13"/>
      <c r="F31" s="13" t="s">
        <v>21</v>
      </c>
      <c r="G31" s="13" t="s">
        <v>21</v>
      </c>
      <c r="H31" s="13" t="s">
        <v>21</v>
      </c>
      <c r="I31" s="13" t="s">
        <v>21</v>
      </c>
      <c r="J31" s="13" t="s">
        <v>21</v>
      </c>
    </row>
    <row r="32" spans="1:11">
      <c r="A32" t="s">
        <v>855</v>
      </c>
      <c r="B32" s="64"/>
    </row>
    <row r="34" spans="1:6">
      <c r="A34" s="78" t="s">
        <v>849</v>
      </c>
    </row>
    <row r="35" spans="1:6">
      <c r="A35" s="76" t="s">
        <v>850</v>
      </c>
      <c r="B35" s="79">
        <v>3000</v>
      </c>
      <c r="F35" s="80" t="s">
        <v>851</v>
      </c>
    </row>
    <row r="38" spans="1:6">
      <c r="A38" s="78" t="s">
        <v>852</v>
      </c>
    </row>
    <row r="39" spans="1:6">
      <c r="A39" s="11" t="s">
        <v>853</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K24"/>
  <sheetViews>
    <sheetView workbookViewId="0">
      <pane ySplit="8" topLeftCell="A9" activePane="bottomLeft" state="frozenSplit"/>
      <selection pane="bottomLeft" activeCell="A32" sqref="A32"/>
    </sheetView>
  </sheetViews>
  <sheetFormatPr defaultColWidth="9.1640625" defaultRowHeight="12.75" outlineLevelCol="1"/>
  <cols>
    <col min="1" max="1" width="42" customWidth="1"/>
    <col min="2" max="2" width="14.5" customWidth="1"/>
    <col min="3" max="3" width="3.1640625" customWidth="1"/>
    <col min="4" max="5" width="14.5" style="1" hidden="1" customWidth="1" outlineLevel="1"/>
    <col min="6" max="6" width="13.8320312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968</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495</v>
      </c>
      <c r="B11" s="77">
        <v>25</v>
      </c>
      <c r="E11" s="1">
        <v>11</v>
      </c>
      <c r="F11" s="1">
        <f>D11+E11</f>
        <v>11</v>
      </c>
      <c r="H11" s="1">
        <v>11</v>
      </c>
      <c r="J11" s="12"/>
    </row>
    <row r="12" spans="1:11">
      <c r="A12" s="11" t="s">
        <v>496</v>
      </c>
      <c r="B12" s="77">
        <v>120</v>
      </c>
      <c r="D12" s="35">
        <v>80.64</v>
      </c>
      <c r="E12" s="1">
        <v>32.24</v>
      </c>
      <c r="F12" s="1">
        <f t="shared" ref="F12:F17" si="0">D12+E12</f>
        <v>112.88</v>
      </c>
      <c r="G12" s="1">
        <v>100</v>
      </c>
      <c r="H12" s="1">
        <v>96.72</v>
      </c>
      <c r="I12" s="1">
        <v>96.72</v>
      </c>
      <c r="J12" s="12">
        <f t="shared" ref="J12:J19" si="1">B12/G12</f>
        <v>1.2</v>
      </c>
    </row>
    <row r="13" spans="1:11">
      <c r="A13" s="11" t="s">
        <v>497</v>
      </c>
      <c r="B13" s="77">
        <v>50</v>
      </c>
      <c r="D13" s="35">
        <v>43</v>
      </c>
      <c r="E13" s="1">
        <v>0</v>
      </c>
      <c r="F13" s="1">
        <f t="shared" si="0"/>
        <v>43</v>
      </c>
      <c r="G13" s="1">
        <v>30</v>
      </c>
      <c r="H13" s="1">
        <v>0.04</v>
      </c>
      <c r="I13" s="1">
        <v>0.86</v>
      </c>
      <c r="J13" s="12">
        <f t="shared" si="1"/>
        <v>1.6666666666666667</v>
      </c>
    </row>
    <row r="14" spans="1:11">
      <c r="A14" s="11" t="s">
        <v>498</v>
      </c>
      <c r="B14" s="56">
        <v>1620</v>
      </c>
      <c r="D14" s="35">
        <v>289.79000000000002</v>
      </c>
      <c r="E14" s="1">
        <v>1059.23</v>
      </c>
      <c r="F14" s="1">
        <f t="shared" si="0"/>
        <v>1349.02</v>
      </c>
      <c r="G14" s="1">
        <v>1620</v>
      </c>
      <c r="H14" s="1">
        <v>1059.23</v>
      </c>
      <c r="I14" s="1">
        <v>1101.6400000000001</v>
      </c>
      <c r="J14" s="12">
        <f t="shared" si="1"/>
        <v>1</v>
      </c>
    </row>
    <row r="15" spans="1:11">
      <c r="A15" s="11" t="s">
        <v>499</v>
      </c>
      <c r="B15" s="56">
        <v>1800</v>
      </c>
      <c r="D15" s="35">
        <v>914.76</v>
      </c>
      <c r="E15" s="38">
        <v>622.1</v>
      </c>
      <c r="F15" s="1">
        <f t="shared" si="0"/>
        <v>1536.8600000000001</v>
      </c>
      <c r="G15" s="1">
        <v>1500</v>
      </c>
      <c r="H15" s="1">
        <v>1143.0999999999999</v>
      </c>
      <c r="I15" s="1">
        <v>1186.25</v>
      </c>
      <c r="J15" s="12">
        <f t="shared" si="1"/>
        <v>1.2</v>
      </c>
    </row>
    <row r="16" spans="1:11">
      <c r="A16" s="11" t="s">
        <v>500</v>
      </c>
      <c r="B16" s="77">
        <v>2500</v>
      </c>
      <c r="D16" s="35">
        <v>1532.45</v>
      </c>
      <c r="E16" s="1">
        <v>1083.49</v>
      </c>
      <c r="F16" s="1">
        <f t="shared" si="0"/>
        <v>2615.94</v>
      </c>
      <c r="G16" s="1">
        <v>2200</v>
      </c>
      <c r="H16" s="1">
        <v>2448.2399999999998</v>
      </c>
      <c r="I16" s="1">
        <v>2810.55</v>
      </c>
      <c r="J16" s="12">
        <f t="shared" si="1"/>
        <v>1.1363636363636365</v>
      </c>
    </row>
    <row r="17" spans="1:11">
      <c r="A17" s="11" t="s">
        <v>501</v>
      </c>
      <c r="B17" s="77">
        <v>175</v>
      </c>
      <c r="D17" s="35">
        <v>104.56</v>
      </c>
      <c r="E17" s="1">
        <v>67.06</v>
      </c>
      <c r="F17" s="1">
        <f t="shared" si="0"/>
        <v>171.62</v>
      </c>
      <c r="G17" s="1">
        <v>210</v>
      </c>
      <c r="H17" s="1">
        <v>158.35</v>
      </c>
      <c r="I17" s="1">
        <v>177.11</v>
      </c>
      <c r="J17" s="12">
        <f t="shared" si="1"/>
        <v>0.83333333333333337</v>
      </c>
    </row>
    <row r="18" spans="1:11">
      <c r="B18" s="66" t="s">
        <v>21</v>
      </c>
      <c r="D18" s="13" t="s">
        <v>21</v>
      </c>
      <c r="E18" s="13"/>
      <c r="F18" s="13" t="s">
        <v>21</v>
      </c>
      <c r="G18" s="13" t="s">
        <v>21</v>
      </c>
      <c r="H18" s="13" t="s">
        <v>21</v>
      </c>
      <c r="I18" s="13" t="s">
        <v>21</v>
      </c>
      <c r="J18" s="13" t="s">
        <v>21</v>
      </c>
    </row>
    <row r="19" spans="1:11">
      <c r="A19" s="11" t="s">
        <v>22</v>
      </c>
      <c r="B19" s="65">
        <f>SUM(B11:B17)</f>
        <v>6290</v>
      </c>
      <c r="C19" s="11"/>
      <c r="D19" s="1">
        <f>SUM(D11:D17)</f>
        <v>2965.2000000000003</v>
      </c>
      <c r="E19" s="1">
        <f>SUM(E11:E17)</f>
        <v>2875.1200000000003</v>
      </c>
      <c r="F19" s="1">
        <f>SUM(F11:F17)</f>
        <v>5840.3200000000006</v>
      </c>
      <c r="G19" s="1">
        <v>5660</v>
      </c>
      <c r="H19" s="1">
        <v>4916.68</v>
      </c>
      <c r="I19" s="1">
        <v>5373.13</v>
      </c>
      <c r="J19" s="12">
        <f t="shared" si="1"/>
        <v>1.1113074204946995</v>
      </c>
      <c r="K19" s="11"/>
    </row>
    <row r="20" spans="1:11">
      <c r="B20" s="13" t="s">
        <v>21</v>
      </c>
      <c r="D20" s="13" t="s">
        <v>21</v>
      </c>
      <c r="E20" s="13"/>
      <c r="F20" s="13" t="s">
        <v>21</v>
      </c>
      <c r="G20" s="13" t="s">
        <v>21</v>
      </c>
      <c r="H20" s="13" t="s">
        <v>21</v>
      </c>
      <c r="I20" s="13" t="s">
        <v>21</v>
      </c>
      <c r="J20" s="13" t="s">
        <v>21</v>
      </c>
    </row>
    <row r="24" spans="1:11">
      <c r="A24" t="s">
        <v>856</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A1:K33"/>
  <sheetViews>
    <sheetView workbookViewId="0">
      <pane ySplit="8" topLeftCell="A9" activePane="bottomLeft" state="frozenSplit"/>
      <selection pane="bottomLeft" activeCell="A25" sqref="A25"/>
    </sheetView>
  </sheetViews>
  <sheetFormatPr defaultColWidth="9.1640625" defaultRowHeight="12.75" outlineLevelCol="1"/>
  <cols>
    <col min="1" max="1" width="50.6640625" customWidth="1"/>
    <col min="2" max="2" width="14.5" customWidth="1"/>
    <col min="3" max="3" width="3.83203125" customWidth="1"/>
    <col min="4" max="5" width="14.5" style="1" hidden="1" customWidth="1" outlineLevel="1"/>
    <col min="6" max="6" width="14.5" style="1" customWidth="1" collapsed="1"/>
    <col min="7" max="8" width="14.5" style="1" customWidth="1"/>
    <col min="9" max="9" width="13" style="1" customWidth="1"/>
    <col min="10" max="10" width="11.5" style="2" customWidth="1"/>
    <col min="11" max="11" width="73.6640625" customWidth="1"/>
  </cols>
  <sheetData>
    <row r="1" spans="1:11" ht="15">
      <c r="A1" s="125" t="s">
        <v>0</v>
      </c>
      <c r="B1" s="125"/>
      <c r="C1" s="125"/>
      <c r="D1" s="125"/>
      <c r="E1" s="125"/>
      <c r="F1" s="125"/>
      <c r="G1" s="125"/>
      <c r="H1" s="125"/>
      <c r="I1" s="125"/>
      <c r="J1" s="125"/>
      <c r="K1" s="4"/>
    </row>
    <row r="2" spans="1:11">
      <c r="A2" s="126" t="s">
        <v>969</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9" spans="1:11">
      <c r="C9" s="40"/>
    </row>
    <row r="10" spans="1:11">
      <c r="A10" s="11" t="s">
        <v>10</v>
      </c>
      <c r="C10" s="40"/>
    </row>
    <row r="11" spans="1:11" ht="25.5">
      <c r="A11" s="11" t="s">
        <v>502</v>
      </c>
      <c r="B11" s="65">
        <v>350</v>
      </c>
      <c r="C11" s="40"/>
      <c r="D11" s="1">
        <v>51.97</v>
      </c>
      <c r="E11" s="1">
        <v>67.790000000000006</v>
      </c>
      <c r="F11" s="1">
        <f>D11+E11</f>
        <v>119.76</v>
      </c>
      <c r="G11" s="1">
        <v>250</v>
      </c>
      <c r="H11" s="1">
        <v>229.36</v>
      </c>
      <c r="J11" s="12">
        <f t="shared" ref="J11:J24" si="0">B11/G11</f>
        <v>1.4</v>
      </c>
      <c r="K11" s="69" t="s">
        <v>857</v>
      </c>
    </row>
    <row r="12" spans="1:11">
      <c r="A12" s="11" t="s">
        <v>503</v>
      </c>
      <c r="B12" s="77">
        <v>720</v>
      </c>
      <c r="C12" s="39" t="s">
        <v>797</v>
      </c>
      <c r="D12" s="35">
        <v>452.8</v>
      </c>
      <c r="E12" s="1">
        <f>226.4*1.1</f>
        <v>249.04000000000002</v>
      </c>
      <c r="F12" s="1">
        <f t="shared" ref="F12:F22" si="1">D12+E12</f>
        <v>701.84</v>
      </c>
      <c r="G12" s="1">
        <v>1000</v>
      </c>
      <c r="H12" s="1">
        <v>1782.4</v>
      </c>
      <c r="J12" s="12">
        <f t="shared" si="0"/>
        <v>0.72</v>
      </c>
    </row>
    <row r="13" spans="1:11">
      <c r="A13" s="11" t="s">
        <v>504</v>
      </c>
      <c r="B13" s="65">
        <v>50</v>
      </c>
      <c r="C13" s="40"/>
      <c r="D13" s="35">
        <v>0.45</v>
      </c>
      <c r="E13" s="1">
        <v>0</v>
      </c>
      <c r="F13" s="1">
        <f t="shared" si="1"/>
        <v>0.45</v>
      </c>
      <c r="G13" s="1">
        <v>50</v>
      </c>
      <c r="J13" s="12">
        <f t="shared" si="0"/>
        <v>1</v>
      </c>
      <c r="K13" s="69"/>
    </row>
    <row r="14" spans="1:11" ht="38.25">
      <c r="A14" s="11" t="s">
        <v>505</v>
      </c>
      <c r="B14" s="65">
        <v>1500</v>
      </c>
      <c r="C14" s="40"/>
      <c r="D14" s="35">
        <v>338.28</v>
      </c>
      <c r="E14" s="1">
        <v>1252.56</v>
      </c>
      <c r="F14" s="1">
        <f t="shared" si="1"/>
        <v>1590.84</v>
      </c>
      <c r="G14" s="1">
        <v>2500</v>
      </c>
      <c r="H14" s="1">
        <v>1764.95</v>
      </c>
      <c r="J14" s="12">
        <f t="shared" si="0"/>
        <v>0.6</v>
      </c>
      <c r="K14" s="69" t="s">
        <v>859</v>
      </c>
    </row>
    <row r="15" spans="1:11">
      <c r="A15" s="81" t="s">
        <v>867</v>
      </c>
      <c r="B15" s="65">
        <v>800</v>
      </c>
      <c r="C15" s="40"/>
      <c r="D15" s="35"/>
      <c r="J15" s="12"/>
      <c r="K15" t="s">
        <v>863</v>
      </c>
    </row>
    <row r="16" spans="1:11">
      <c r="A16" s="11" t="s">
        <v>506</v>
      </c>
      <c r="B16" s="77">
        <v>2500</v>
      </c>
      <c r="C16" s="39"/>
      <c r="D16" s="35">
        <v>73.02</v>
      </c>
      <c r="E16" s="1">
        <v>2907.56</v>
      </c>
      <c r="F16" s="1">
        <f t="shared" si="1"/>
        <v>2980.58</v>
      </c>
      <c r="G16" s="1">
        <v>2500</v>
      </c>
      <c r="H16" s="1">
        <v>4829.26</v>
      </c>
      <c r="J16" s="12">
        <f t="shared" si="0"/>
        <v>1</v>
      </c>
    </row>
    <row r="17" spans="1:11" ht="38.25">
      <c r="A17" s="81" t="s">
        <v>865</v>
      </c>
      <c r="B17" s="65">
        <v>500</v>
      </c>
      <c r="C17" s="39"/>
      <c r="D17" s="35"/>
      <c r="J17" s="12"/>
      <c r="K17" s="69" t="s">
        <v>858</v>
      </c>
    </row>
    <row r="18" spans="1:11" ht="63.75">
      <c r="A18" s="11" t="s">
        <v>507</v>
      </c>
      <c r="B18" s="65">
        <v>3000</v>
      </c>
      <c r="C18" s="40"/>
      <c r="D18" s="35">
        <v>1118.1500000000001</v>
      </c>
      <c r="E18" s="1">
        <v>1554.95</v>
      </c>
      <c r="F18" s="1">
        <f t="shared" si="1"/>
        <v>2673.1000000000004</v>
      </c>
      <c r="G18" s="1">
        <v>3500</v>
      </c>
      <c r="H18" s="1">
        <v>3667.25</v>
      </c>
      <c r="J18" s="12">
        <f t="shared" si="0"/>
        <v>0.8571428571428571</v>
      </c>
      <c r="K18" s="82" t="s">
        <v>860</v>
      </c>
    </row>
    <row r="19" spans="1:11" ht="25.5">
      <c r="A19" s="11" t="s">
        <v>508</v>
      </c>
      <c r="B19" s="65">
        <v>500</v>
      </c>
      <c r="C19" s="40"/>
      <c r="E19" s="1">
        <v>0</v>
      </c>
      <c r="F19" s="1">
        <f t="shared" si="1"/>
        <v>0</v>
      </c>
      <c r="G19" s="1">
        <v>500</v>
      </c>
      <c r="J19" s="12">
        <f t="shared" si="0"/>
        <v>1</v>
      </c>
      <c r="K19" s="69" t="s">
        <v>861</v>
      </c>
    </row>
    <row r="20" spans="1:11">
      <c r="A20" s="11" t="s">
        <v>509</v>
      </c>
      <c r="B20" s="65">
        <v>6200</v>
      </c>
      <c r="C20" s="40"/>
      <c r="D20" s="35">
        <v>3203.83</v>
      </c>
      <c r="E20" s="1">
        <v>2718.62</v>
      </c>
      <c r="F20" s="1">
        <f t="shared" si="1"/>
        <v>5922.45</v>
      </c>
      <c r="G20" s="1">
        <v>5900</v>
      </c>
      <c r="H20" s="1">
        <v>6481.71</v>
      </c>
      <c r="J20" s="12">
        <f t="shared" si="0"/>
        <v>1.0508474576271187</v>
      </c>
    </row>
    <row r="21" spans="1:11">
      <c r="A21" s="11" t="s">
        <v>510</v>
      </c>
      <c r="B21" s="65">
        <v>450</v>
      </c>
      <c r="C21" s="40"/>
      <c r="D21" s="35">
        <v>228.29</v>
      </c>
      <c r="E21" s="1">
        <v>200.72</v>
      </c>
      <c r="F21" s="1">
        <f t="shared" si="1"/>
        <v>429.01</v>
      </c>
      <c r="G21" s="1">
        <v>450</v>
      </c>
      <c r="H21" s="1">
        <v>457.66</v>
      </c>
      <c r="J21" s="12">
        <f t="shared" si="0"/>
        <v>1</v>
      </c>
      <c r="K21" t="s">
        <v>862</v>
      </c>
    </row>
    <row r="22" spans="1:11">
      <c r="A22" s="11" t="s">
        <v>511</v>
      </c>
      <c r="B22" s="115">
        <v>630</v>
      </c>
      <c r="C22" s="39" t="s">
        <v>798</v>
      </c>
      <c r="E22" s="1">
        <v>0</v>
      </c>
      <c r="F22" s="1">
        <f t="shared" si="1"/>
        <v>0</v>
      </c>
      <c r="G22" s="1">
        <v>400</v>
      </c>
      <c r="J22" s="12">
        <f t="shared" si="0"/>
        <v>1.575</v>
      </c>
      <c r="K22" t="s">
        <v>864</v>
      </c>
    </row>
    <row r="23" spans="1:11">
      <c r="B23" s="66" t="s">
        <v>21</v>
      </c>
      <c r="C23" s="40"/>
      <c r="D23" s="13" t="s">
        <v>21</v>
      </c>
      <c r="E23" s="13"/>
      <c r="F23" s="13" t="s">
        <v>21</v>
      </c>
      <c r="G23" s="13" t="s">
        <v>21</v>
      </c>
      <c r="H23" s="13" t="s">
        <v>21</v>
      </c>
      <c r="I23" s="13" t="s">
        <v>21</v>
      </c>
      <c r="J23" s="13" t="s">
        <v>21</v>
      </c>
    </row>
    <row r="24" spans="1:11">
      <c r="A24" s="11" t="s">
        <v>22</v>
      </c>
      <c r="B24" s="65">
        <f>SUM(B11:B22)</f>
        <v>17200</v>
      </c>
      <c r="C24" s="40"/>
      <c r="D24" s="1">
        <f>SUM(D11:D22)</f>
        <v>5466.79</v>
      </c>
      <c r="E24" s="1">
        <f>SUM(E11:E22)</f>
        <v>8951.24</v>
      </c>
      <c r="F24" s="1">
        <f>SUM(F11:F22)</f>
        <v>14418.03</v>
      </c>
      <c r="G24" s="1">
        <v>17050</v>
      </c>
      <c r="H24" s="1">
        <v>19212.59</v>
      </c>
      <c r="J24" s="12">
        <f t="shared" si="0"/>
        <v>1.0087976539589443</v>
      </c>
    </row>
    <row r="25" spans="1:11">
      <c r="B25" s="13" t="s">
        <v>21</v>
      </c>
      <c r="D25" s="13" t="s">
        <v>21</v>
      </c>
      <c r="E25" s="13"/>
      <c r="F25" s="13" t="s">
        <v>21</v>
      </c>
      <c r="G25" s="13" t="s">
        <v>21</v>
      </c>
      <c r="H25" s="13" t="s">
        <v>21</v>
      </c>
      <c r="I25" s="13" t="s">
        <v>21</v>
      </c>
      <c r="J25" s="13" t="s">
        <v>21</v>
      </c>
    </row>
    <row r="26" spans="1:11">
      <c r="B26" s="64"/>
    </row>
    <row r="28" spans="1:11">
      <c r="A28" s="62" t="s">
        <v>866</v>
      </c>
    </row>
    <row r="29" spans="1:11">
      <c r="A29" s="62" t="s">
        <v>871</v>
      </c>
      <c r="I29" s="1" t="s">
        <v>930</v>
      </c>
    </row>
    <row r="30" spans="1:11">
      <c r="A30" s="62"/>
    </row>
    <row r="31" spans="1:11">
      <c r="A31" s="62" t="s">
        <v>868</v>
      </c>
    </row>
    <row r="32" spans="1:11">
      <c r="A32" s="62" t="s">
        <v>869</v>
      </c>
    </row>
    <row r="33" spans="1:1">
      <c r="A33" s="62" t="s">
        <v>870</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25"/>
  <sheetViews>
    <sheetView workbookViewId="0">
      <pane ySplit="8" topLeftCell="A9" activePane="bottomLeft" state="frozenSplit"/>
      <selection pane="bottomLeft" activeCell="I54" sqref="I54"/>
    </sheetView>
  </sheetViews>
  <sheetFormatPr defaultColWidth="9.1640625" defaultRowHeight="12.75" outlineLevelCol="1"/>
  <cols>
    <col min="1" max="1" width="12.6640625" customWidth="1"/>
    <col min="2" max="2" width="40.5" customWidth="1"/>
    <col min="3" max="3" width="14.5" customWidth="1"/>
    <col min="4" max="4" width="3.83203125" customWidth="1"/>
    <col min="5" max="6" width="14.5" style="1" hidden="1" customWidth="1" outlineLevel="1"/>
    <col min="7" max="7" width="13.6640625" style="1" customWidth="1" collapsed="1"/>
    <col min="8" max="8" width="13.83203125" style="1" customWidth="1"/>
    <col min="9" max="9" width="14.33203125" style="1" customWidth="1"/>
    <col min="10" max="10" width="13.33203125" style="1" customWidth="1"/>
    <col min="11" max="11" width="11.5" style="2" customWidth="1"/>
    <col min="12" max="12" width="55.5" customWidth="1"/>
  </cols>
  <sheetData>
    <row r="1" spans="1:12" ht="15">
      <c r="A1" s="125" t="s">
        <v>0</v>
      </c>
      <c r="B1" s="125"/>
      <c r="C1" s="125"/>
      <c r="D1" s="125"/>
      <c r="E1" s="125"/>
      <c r="F1" s="125"/>
      <c r="G1" s="125"/>
      <c r="H1" s="125"/>
      <c r="I1" s="125"/>
      <c r="J1" s="125"/>
      <c r="K1" s="3"/>
      <c r="L1" s="4"/>
    </row>
    <row r="2" spans="1:12">
      <c r="A2" s="126" t="s">
        <v>943</v>
      </c>
      <c r="B2" s="126"/>
      <c r="C2" s="126"/>
      <c r="D2" s="126"/>
      <c r="E2" s="126"/>
      <c r="F2" s="126"/>
      <c r="G2" s="126"/>
      <c r="H2" s="126"/>
      <c r="I2" s="126"/>
      <c r="J2" s="126"/>
      <c r="K2" s="126"/>
      <c r="L2" s="8"/>
    </row>
    <row r="3" spans="1:12">
      <c r="A3" s="126" t="s">
        <v>765</v>
      </c>
      <c r="B3" s="126"/>
      <c r="C3" s="126"/>
      <c r="D3" s="126"/>
      <c r="E3" s="126"/>
      <c r="F3" s="126"/>
      <c r="G3" s="126"/>
      <c r="H3" s="126"/>
      <c r="I3" s="126"/>
      <c r="J3" s="126"/>
      <c r="K3" s="126"/>
      <c r="L3" s="8"/>
    </row>
    <row r="5" spans="1:12">
      <c r="C5" s="9" t="s">
        <v>941</v>
      </c>
      <c r="E5" s="42" t="s">
        <v>1</v>
      </c>
      <c r="F5" s="41" t="s">
        <v>760</v>
      </c>
      <c r="G5" s="43" t="s">
        <v>2</v>
      </c>
      <c r="K5" s="46" t="s">
        <v>8</v>
      </c>
    </row>
    <row r="6" spans="1:12">
      <c r="C6" s="9" t="s">
        <v>3</v>
      </c>
      <c r="E6" s="42" t="s">
        <v>761</v>
      </c>
      <c r="F6" s="41" t="s">
        <v>759</v>
      </c>
      <c r="G6" s="43" t="s">
        <v>4</v>
      </c>
      <c r="H6" s="10" t="s">
        <v>4</v>
      </c>
      <c r="I6" s="10" t="s">
        <v>5</v>
      </c>
      <c r="J6" s="10" t="s">
        <v>6</v>
      </c>
      <c r="K6" s="10" t="s">
        <v>774</v>
      </c>
      <c r="L6" s="9" t="s">
        <v>7</v>
      </c>
    </row>
    <row r="7" spans="1:12">
      <c r="C7" s="9" t="s">
        <v>8</v>
      </c>
      <c r="E7" s="42" t="s">
        <v>4</v>
      </c>
      <c r="F7" s="41" t="s">
        <v>5</v>
      </c>
      <c r="G7" s="43" t="s">
        <v>9</v>
      </c>
      <c r="H7" s="10" t="s">
        <v>8</v>
      </c>
      <c r="I7" s="10" t="s">
        <v>9</v>
      </c>
      <c r="J7" s="10" t="s">
        <v>9</v>
      </c>
      <c r="K7" s="10" t="s">
        <v>775</v>
      </c>
    </row>
    <row r="10" spans="1:12">
      <c r="A10" s="11" t="s">
        <v>10</v>
      </c>
      <c r="B10" s="11"/>
    </row>
    <row r="11" spans="1:12">
      <c r="A11" s="11" t="s">
        <v>62</v>
      </c>
      <c r="B11" s="11"/>
      <c r="C11" s="1">
        <f>'UNION MARKET - Acct Detail'!B31</f>
        <v>-81094.000000000058</v>
      </c>
      <c r="E11" s="1">
        <f>'UNION MARKET - Acct Detail'!D31</f>
        <v>-64466.179999999993</v>
      </c>
      <c r="F11" s="1">
        <f>'UNION MARKET - Acct Detail'!E31</f>
        <v>-5884.519999999975</v>
      </c>
      <c r="G11" s="1">
        <f>'UNION MARKET - Acct Detail'!F31</f>
        <v>-70350.700000000114</v>
      </c>
      <c r="H11" s="1">
        <v>-85110</v>
      </c>
      <c r="I11" s="1">
        <v>-66891.81</v>
      </c>
      <c r="J11" s="1">
        <v>-91609.059999999794</v>
      </c>
      <c r="K11" s="12">
        <f>C11/H11</f>
        <v>0.95281400540477101</v>
      </c>
    </row>
    <row r="12" spans="1:12">
      <c r="A12" s="11" t="s">
        <v>64</v>
      </c>
      <c r="B12" s="11"/>
      <c r="C12" s="1">
        <f>'UNDERGROUND - Acct Detail'!B62</f>
        <v>-38350</v>
      </c>
      <c r="E12" s="1">
        <f>'UNDERGROUND - Acct Detail'!D62</f>
        <v>-11596.590000000158</v>
      </c>
      <c r="F12" s="1">
        <f>'UNDERGROUND - Acct Detail'!E62</f>
        <v>-20691.02</v>
      </c>
      <c r="G12" s="1">
        <f>'UNDERGROUND - Acct Detail'!F62</f>
        <v>-32287.609999999906</v>
      </c>
      <c r="H12" s="1">
        <v>-46220</v>
      </c>
      <c r="I12" s="1">
        <v>-29626.5999999999</v>
      </c>
      <c r="J12" s="1">
        <v>-59170.299999999901</v>
      </c>
      <c r="K12" s="12">
        <f t="shared" ref="K12:K20" si="0">C12/H12</f>
        <v>0.8297273907399394</v>
      </c>
    </row>
    <row r="13" spans="1:12">
      <c r="A13" s="11" t="s">
        <v>65</v>
      </c>
      <c r="B13" s="11"/>
      <c r="C13" s="1">
        <f>'1280 - Acct Detail'!B63</f>
        <v>64350</v>
      </c>
      <c r="E13" s="1">
        <f>'1280 - Acct Detail'!D63</f>
        <v>53121.01999999996</v>
      </c>
      <c r="F13" s="1">
        <f>'1280 - Acct Detail'!E63</f>
        <v>-442.10000000000991</v>
      </c>
      <c r="G13" s="1">
        <f>'1280 - Acct Detail'!F63</f>
        <v>52678.920000000246</v>
      </c>
      <c r="H13" s="1">
        <v>98900</v>
      </c>
      <c r="I13" s="1">
        <v>60172.450000000303</v>
      </c>
      <c r="J13" s="1">
        <v>55042.699999999903</v>
      </c>
      <c r="K13" s="12">
        <f t="shared" si="0"/>
        <v>0.65065722952477245</v>
      </c>
    </row>
    <row r="14" spans="1:12">
      <c r="A14" s="11" t="s">
        <v>729</v>
      </c>
      <c r="B14" s="11"/>
      <c r="C14" s="1"/>
      <c r="K14" s="12"/>
    </row>
    <row r="15" spans="1:12">
      <c r="A15" s="11"/>
      <c r="B15" s="11" t="s">
        <v>63</v>
      </c>
      <c r="C15" s="1">
        <f>'RENTAL INC - Acct Detail'!B11+'RENTAL INC - Acct Detail'!B12</f>
        <v>-20125</v>
      </c>
      <c r="E15" s="1">
        <f>'RENTAL INC - Acct Detail'!D11+'RENTAL INC - Acct Detail'!D12</f>
        <v>226.4</v>
      </c>
      <c r="F15" s="1">
        <f>'RENTAL INC - Acct Detail'!E11+'RENTAL INC - Acct Detail'!E12</f>
        <v>-17569.969999999998</v>
      </c>
      <c r="G15" s="1">
        <f>'RENTAL INC - Acct Detail'!F11+'RENTAL INC - Acct Detail'!F12</f>
        <v>-17343.57</v>
      </c>
      <c r="H15" s="1">
        <v>-11700</v>
      </c>
      <c r="I15" s="1">
        <v>-13083.5</v>
      </c>
      <c r="J15" s="1">
        <v>-10640</v>
      </c>
      <c r="K15" s="12">
        <f t="shared" si="0"/>
        <v>1.7200854700854702</v>
      </c>
    </row>
    <row r="16" spans="1:12">
      <c r="A16" s="11"/>
      <c r="B16" s="11" t="s">
        <v>66</v>
      </c>
      <c r="C16" s="1">
        <f>'RENTAL INC - Acct Detail'!B13</f>
        <v>0</v>
      </c>
      <c r="E16" s="1">
        <f>'RENTAL INC - Acct Detail'!D13</f>
        <v>0</v>
      </c>
      <c r="F16" s="1">
        <f>'RENTAL INC - Acct Detail'!E13</f>
        <v>-4312</v>
      </c>
      <c r="G16" s="1">
        <f>'RENTAL INC - Acct Detail'!F13</f>
        <v>-4312</v>
      </c>
      <c r="H16" s="1">
        <v>-5000</v>
      </c>
      <c r="I16" s="1">
        <v>-4312</v>
      </c>
      <c r="J16" s="1">
        <v>-9903.9699999999993</v>
      </c>
      <c r="K16" s="12">
        <f t="shared" si="0"/>
        <v>0</v>
      </c>
    </row>
    <row r="17" spans="1:12">
      <c r="A17" s="11"/>
      <c r="B17" s="11" t="s">
        <v>67</v>
      </c>
      <c r="C17" s="1">
        <f>'RENTAL INC - Acct Detail'!B14</f>
        <v>-22000</v>
      </c>
      <c r="E17" s="1">
        <f>'RENTAL INC - Acct Detail'!D14</f>
        <v>0</v>
      </c>
      <c r="F17" s="1">
        <f>'RENTAL INC - Acct Detail'!E14</f>
        <v>-21172.35</v>
      </c>
      <c r="G17" s="1">
        <f>'RENTAL INC - Acct Detail'!F14</f>
        <v>-21172.35</v>
      </c>
      <c r="H17" s="1">
        <v>-21000</v>
      </c>
      <c r="I17" s="1">
        <v>-21172.35</v>
      </c>
      <c r="J17" s="1">
        <v>-21172.35</v>
      </c>
      <c r="K17" s="12">
        <f t="shared" si="0"/>
        <v>1.0476190476190477</v>
      </c>
    </row>
    <row r="18" spans="1:12">
      <c r="A18" s="11"/>
      <c r="B18" s="11" t="s">
        <v>725</v>
      </c>
      <c r="C18" s="1"/>
      <c r="K18" s="12"/>
    </row>
    <row r="19" spans="1:12">
      <c r="B19" s="11" t="s">
        <v>936</v>
      </c>
      <c r="C19" s="13" t="s">
        <v>21</v>
      </c>
      <c r="E19" s="13" t="s">
        <v>21</v>
      </c>
      <c r="F19" s="13"/>
      <c r="G19" s="13" t="s">
        <v>21</v>
      </c>
      <c r="H19" s="13" t="s">
        <v>21</v>
      </c>
      <c r="I19" s="13" t="s">
        <v>21</v>
      </c>
      <c r="J19" s="13" t="s">
        <v>21</v>
      </c>
      <c r="K19" s="13" t="s">
        <v>21</v>
      </c>
    </row>
    <row r="20" spans="1:12">
      <c r="A20" s="11" t="s">
        <v>22</v>
      </c>
      <c r="B20" s="11"/>
      <c r="C20" s="1">
        <f>SUM(C11:C18)</f>
        <v>-97219.000000000058</v>
      </c>
      <c r="D20" s="11"/>
      <c r="E20" s="1">
        <f>SUM(E11:E17)</f>
        <v>-22715.350000000188</v>
      </c>
      <c r="F20" s="1">
        <f>SUM(F11:F17)</f>
        <v>-70071.959999999992</v>
      </c>
      <c r="G20" s="1">
        <f>SUM(G11:G17)</f>
        <v>-92787.309999999794</v>
      </c>
      <c r="H20" s="1">
        <v>-70130</v>
      </c>
      <c r="I20" s="1">
        <v>-74913.809999999605</v>
      </c>
      <c r="J20" s="1">
        <v>-137452.98000000001</v>
      </c>
      <c r="K20" s="12">
        <f t="shared" si="0"/>
        <v>1.3862683587622995</v>
      </c>
      <c r="L20" s="11"/>
    </row>
    <row r="21" spans="1:12">
      <c r="C21" s="13" t="s">
        <v>21</v>
      </c>
      <c r="E21" s="13" t="s">
        <v>21</v>
      </c>
      <c r="F21" s="13"/>
      <c r="G21" s="13" t="s">
        <v>21</v>
      </c>
      <c r="H21" s="13" t="s">
        <v>21</v>
      </c>
      <c r="I21" s="13" t="s">
        <v>21</v>
      </c>
      <c r="J21" s="13" t="s">
        <v>21</v>
      </c>
      <c r="K21" s="13" t="s">
        <v>21</v>
      </c>
    </row>
    <row r="22" spans="1:12">
      <c r="E22" s="1">
        <f>SUM(E11:E17)</f>
        <v>-22715.350000000188</v>
      </c>
    </row>
    <row r="23" spans="1:12">
      <c r="B23" s="11"/>
    </row>
    <row r="24" spans="1:12">
      <c r="B24" s="11"/>
      <c r="C24" s="1"/>
      <c r="E24" s="1">
        <f>SUM(E15:E17)</f>
        <v>226.4</v>
      </c>
    </row>
    <row r="25" spans="1:12">
      <c r="E25" s="1">
        <v>169.8</v>
      </c>
    </row>
  </sheetData>
  <mergeCells count="3">
    <mergeCell ref="A1:J1"/>
    <mergeCell ref="A2:K2"/>
    <mergeCell ref="A3:K3"/>
  </mergeCells>
  <phoneticPr fontId="0" type="noConversion"/>
  <pageMargins left="0.75" right="0.75" top="0.75" bottom="0.75" header="0.5" footer="0.5"/>
  <pageSetup orientation="portrait"/>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K26"/>
  <sheetViews>
    <sheetView workbookViewId="0">
      <pane ySplit="8" topLeftCell="A9" activePane="bottomLeft" state="frozenSplit"/>
      <selection pane="bottomLeft" activeCell="A32" sqref="A32"/>
    </sheetView>
  </sheetViews>
  <sheetFormatPr defaultColWidth="9.1640625" defaultRowHeight="12.75" outlineLevelCol="1"/>
  <cols>
    <col min="1" max="1" width="43.83203125" customWidth="1"/>
    <col min="2" max="2" width="14.5" customWidth="1"/>
    <col min="3" max="3" width="3.83203125" customWidth="1"/>
    <col min="4" max="5" width="14.5" style="1" hidden="1" customWidth="1" outlineLevel="1"/>
    <col min="6" max="6" width="13.6640625" style="1" customWidth="1" collapsed="1"/>
    <col min="7" max="9" width="14.5" style="1" customWidth="1"/>
    <col min="10" max="10" width="10.5" style="2" customWidth="1"/>
    <col min="11" max="11" width="55.5" customWidth="1"/>
  </cols>
  <sheetData>
    <row r="1" spans="1:11" ht="15">
      <c r="A1" s="125" t="s">
        <v>0</v>
      </c>
      <c r="B1" s="125"/>
      <c r="C1" s="125"/>
      <c r="D1" s="125"/>
      <c r="E1" s="125"/>
      <c r="F1" s="125"/>
      <c r="G1" s="125"/>
      <c r="H1" s="125"/>
      <c r="I1" s="125"/>
      <c r="J1" s="125"/>
      <c r="K1" s="4"/>
    </row>
    <row r="2" spans="1:11">
      <c r="A2" s="126" t="s">
        <v>970</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512</v>
      </c>
      <c r="B11" s="65"/>
      <c r="E11" s="1">
        <v>-4867.47</v>
      </c>
      <c r="F11" s="1">
        <f>D11+E11</f>
        <v>-4867.47</v>
      </c>
      <c r="G11" s="1">
        <v>-2000</v>
      </c>
      <c r="H11" s="1">
        <v>-4867.47</v>
      </c>
      <c r="I11" s="1">
        <v>-2105.38</v>
      </c>
      <c r="J11" s="12">
        <f t="shared" ref="J11:J23" si="0">B11/G11</f>
        <v>0</v>
      </c>
    </row>
    <row r="12" spans="1:11">
      <c r="A12" s="11" t="s">
        <v>513</v>
      </c>
      <c r="B12" s="65"/>
      <c r="D12" s="35">
        <v>-500</v>
      </c>
      <c r="E12" s="1">
        <v>-500</v>
      </c>
      <c r="F12" s="1">
        <f t="shared" ref="F12:F21" si="1">D12+E12</f>
        <v>-1000</v>
      </c>
      <c r="G12" s="1">
        <v>-240</v>
      </c>
      <c r="H12" s="1">
        <v>-750</v>
      </c>
      <c r="I12" s="1">
        <v>-8308.16</v>
      </c>
      <c r="J12" s="12">
        <f t="shared" si="0"/>
        <v>0</v>
      </c>
    </row>
    <row r="13" spans="1:11">
      <c r="A13" s="11" t="s">
        <v>514</v>
      </c>
      <c r="B13" s="65">
        <v>100</v>
      </c>
      <c r="D13" s="35">
        <v>29.69</v>
      </c>
      <c r="E13" s="1">
        <v>0</v>
      </c>
      <c r="F13" s="1">
        <f t="shared" si="1"/>
        <v>29.69</v>
      </c>
      <c r="G13" s="1">
        <v>120</v>
      </c>
      <c r="I13" s="1">
        <v>0.52</v>
      </c>
      <c r="J13" s="12">
        <f t="shared" si="0"/>
        <v>0.83333333333333337</v>
      </c>
      <c r="K13" t="s">
        <v>872</v>
      </c>
    </row>
    <row r="14" spans="1:11">
      <c r="A14" s="11" t="s">
        <v>515</v>
      </c>
      <c r="B14" s="65">
        <v>900</v>
      </c>
      <c r="D14" s="35">
        <v>564.79999999999995</v>
      </c>
      <c r="E14" s="1">
        <v>302.39999999999998</v>
      </c>
      <c r="F14" s="1">
        <f t="shared" si="1"/>
        <v>867.19999999999993</v>
      </c>
      <c r="G14" s="1">
        <v>900</v>
      </c>
      <c r="H14" s="1">
        <v>907.2</v>
      </c>
      <c r="I14" s="1">
        <v>907.2</v>
      </c>
      <c r="J14" s="12">
        <f t="shared" si="0"/>
        <v>1</v>
      </c>
      <c r="K14" t="s">
        <v>873</v>
      </c>
    </row>
    <row r="15" spans="1:11">
      <c r="A15" s="11" t="s">
        <v>516</v>
      </c>
      <c r="B15" s="65">
        <v>24</v>
      </c>
      <c r="D15" s="35">
        <v>1.1200000000000001</v>
      </c>
      <c r="E15" s="1">
        <v>0</v>
      </c>
      <c r="F15" s="1">
        <f t="shared" si="1"/>
        <v>1.1200000000000001</v>
      </c>
      <c r="G15" s="1">
        <v>24</v>
      </c>
      <c r="H15" s="1">
        <v>0.01</v>
      </c>
      <c r="I15" s="1">
        <v>35.03</v>
      </c>
      <c r="J15" s="12">
        <f t="shared" si="0"/>
        <v>1</v>
      </c>
      <c r="K15" t="s">
        <v>874</v>
      </c>
    </row>
    <row r="16" spans="1:11">
      <c r="A16" s="11" t="s">
        <v>517</v>
      </c>
      <c r="B16" s="65">
        <v>12000</v>
      </c>
      <c r="D16" s="35">
        <v>1496.32</v>
      </c>
      <c r="E16" s="1">
        <v>13513.78</v>
      </c>
      <c r="F16" s="1">
        <f t="shared" si="1"/>
        <v>15010.1</v>
      </c>
      <c r="G16" s="1">
        <v>12000</v>
      </c>
      <c r="H16" s="1">
        <v>16031.74</v>
      </c>
      <c r="I16" s="1">
        <v>13147.35</v>
      </c>
      <c r="J16" s="12">
        <f t="shared" si="0"/>
        <v>1</v>
      </c>
      <c r="K16" t="s">
        <v>875</v>
      </c>
    </row>
    <row r="17" spans="1:11">
      <c r="A17" s="11" t="s">
        <v>518</v>
      </c>
      <c r="B17" s="65">
        <v>3000</v>
      </c>
      <c r="D17" s="35">
        <v>1214.71</v>
      </c>
      <c r="E17" s="1">
        <v>52.28</v>
      </c>
      <c r="F17" s="1">
        <f t="shared" si="1"/>
        <v>1266.99</v>
      </c>
      <c r="G17" s="1">
        <v>2500</v>
      </c>
      <c r="H17" s="1">
        <v>1703.78</v>
      </c>
      <c r="I17" s="1">
        <v>817.39</v>
      </c>
      <c r="J17" s="12">
        <f t="shared" si="0"/>
        <v>1.2</v>
      </c>
      <c r="K17" t="s">
        <v>876</v>
      </c>
    </row>
    <row r="18" spans="1:11">
      <c r="A18" s="11" t="s">
        <v>519</v>
      </c>
      <c r="B18" s="65">
        <v>500</v>
      </c>
      <c r="D18" s="35">
        <v>106.72</v>
      </c>
      <c r="E18" s="1">
        <v>44.26</v>
      </c>
      <c r="F18" s="1">
        <f t="shared" si="1"/>
        <v>150.97999999999999</v>
      </c>
      <c r="G18" s="1">
        <v>200</v>
      </c>
      <c r="H18" s="1">
        <v>150.97999999999999</v>
      </c>
      <c r="I18" s="1">
        <v>50.16</v>
      </c>
      <c r="J18" s="12">
        <f t="shared" si="0"/>
        <v>2.5</v>
      </c>
      <c r="K18" t="s">
        <v>877</v>
      </c>
    </row>
    <row r="19" spans="1:11">
      <c r="A19" s="11" t="s">
        <v>520</v>
      </c>
      <c r="B19" s="65">
        <v>10700</v>
      </c>
      <c r="D19" s="35">
        <v>8504.66</v>
      </c>
      <c r="E19" s="1">
        <v>2996.89</v>
      </c>
      <c r="F19" s="1">
        <f t="shared" si="1"/>
        <v>11501.55</v>
      </c>
      <c r="G19" s="1">
        <v>10700</v>
      </c>
      <c r="H19" s="1">
        <v>8585.69</v>
      </c>
      <c r="I19" s="1">
        <v>11470.07</v>
      </c>
      <c r="J19" s="12">
        <f t="shared" si="0"/>
        <v>1</v>
      </c>
    </row>
    <row r="20" spans="1:11">
      <c r="A20" s="11" t="s">
        <v>521</v>
      </c>
      <c r="B20" s="65">
        <v>800</v>
      </c>
      <c r="D20" s="35">
        <v>606.04</v>
      </c>
      <c r="E20" s="1">
        <v>208.16</v>
      </c>
      <c r="F20" s="1">
        <f t="shared" si="1"/>
        <v>814.19999999999993</v>
      </c>
      <c r="G20" s="1">
        <v>800</v>
      </c>
      <c r="H20" s="1">
        <v>617.08000000000004</v>
      </c>
      <c r="I20" s="1">
        <v>776.33</v>
      </c>
      <c r="J20" s="12">
        <f t="shared" si="0"/>
        <v>1</v>
      </c>
    </row>
    <row r="21" spans="1:11">
      <c r="A21" s="11" t="s">
        <v>522</v>
      </c>
      <c r="B21" s="115">
        <v>270</v>
      </c>
      <c r="D21" s="35">
        <v>181.24</v>
      </c>
      <c r="E21" s="1">
        <v>90.62</v>
      </c>
      <c r="F21" s="1">
        <f t="shared" si="1"/>
        <v>271.86</v>
      </c>
      <c r="G21" s="1">
        <v>270</v>
      </c>
      <c r="H21" s="1">
        <v>271.85000000000002</v>
      </c>
      <c r="I21" s="1">
        <v>271.85000000000002</v>
      </c>
      <c r="J21" s="12">
        <f t="shared" si="0"/>
        <v>1</v>
      </c>
    </row>
    <row r="22" spans="1:11">
      <c r="B22" s="66" t="s">
        <v>21</v>
      </c>
      <c r="D22" s="13" t="s">
        <v>21</v>
      </c>
      <c r="E22" s="13"/>
      <c r="F22" s="13" t="s">
        <v>21</v>
      </c>
      <c r="G22" s="13" t="s">
        <v>21</v>
      </c>
      <c r="H22" s="13" t="s">
        <v>21</v>
      </c>
      <c r="I22" s="13" t="s">
        <v>21</v>
      </c>
      <c r="J22" s="13" t="s">
        <v>21</v>
      </c>
    </row>
    <row r="23" spans="1:11">
      <c r="A23" s="11" t="s">
        <v>22</v>
      </c>
      <c r="B23" s="65">
        <f>SUM(B11:B22)</f>
        <v>28294</v>
      </c>
      <c r="C23" s="11"/>
      <c r="D23" s="1">
        <f>SUM(D11:D21)</f>
        <v>12205.300000000001</v>
      </c>
      <c r="E23" s="1">
        <f>SUM(E11:E21)</f>
        <v>11840.92</v>
      </c>
      <c r="F23" s="1">
        <f>SUM(F11:F21)</f>
        <v>24046.219999999998</v>
      </c>
      <c r="G23" s="1">
        <v>25274</v>
      </c>
      <c r="H23" s="1">
        <v>22650.86</v>
      </c>
      <c r="I23" s="1">
        <v>17062.36</v>
      </c>
      <c r="J23" s="12">
        <f t="shared" si="0"/>
        <v>1.1194903853762761</v>
      </c>
      <c r="K23" s="11"/>
    </row>
    <row r="24" spans="1:11">
      <c r="B24" s="13" t="s">
        <v>21</v>
      </c>
      <c r="D24" s="13" t="s">
        <v>21</v>
      </c>
      <c r="E24" s="13"/>
      <c r="F24" s="13" t="s">
        <v>21</v>
      </c>
      <c r="G24" s="13" t="s">
        <v>21</v>
      </c>
      <c r="H24" s="13" t="s">
        <v>21</v>
      </c>
      <c r="I24" s="13" t="s">
        <v>21</v>
      </c>
      <c r="J24" s="13" t="s">
        <v>21</v>
      </c>
    </row>
    <row r="25" spans="1:11">
      <c r="B25" s="64"/>
    </row>
    <row r="26" spans="1:11">
      <c r="K26" t="s">
        <v>930</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31.xml><?xml version="1.0" encoding="utf-8"?>
<worksheet xmlns="http://schemas.openxmlformats.org/spreadsheetml/2006/main" xmlns:r="http://schemas.openxmlformats.org/officeDocument/2006/relationships">
  <sheetPr>
    <pageSetUpPr fitToPage="1"/>
  </sheetPr>
  <dimension ref="A1:K31"/>
  <sheetViews>
    <sheetView workbookViewId="0">
      <pane ySplit="8" topLeftCell="A9" activePane="bottomLeft" state="frozenSplit"/>
      <selection pane="bottomLeft" activeCell="A33" sqref="A33"/>
    </sheetView>
  </sheetViews>
  <sheetFormatPr defaultColWidth="9.1640625" defaultRowHeight="12.75"/>
  <cols>
    <col min="1" max="1" width="56" customWidth="1"/>
    <col min="2" max="2" width="14.5" customWidth="1"/>
    <col min="3" max="3" width="3.5" customWidth="1"/>
    <col min="4" max="5" width="14.5" style="1" customWidth="1"/>
    <col min="6" max="6" width="13" style="1" customWidth="1"/>
    <col min="7" max="9" width="14.5" style="1" customWidth="1"/>
    <col min="10" max="10" width="9.6640625" style="2" customWidth="1"/>
    <col min="11" max="11" width="55.5" customWidth="1"/>
  </cols>
  <sheetData>
    <row r="1" spans="1:11" ht="15">
      <c r="A1" s="125" t="s">
        <v>0</v>
      </c>
      <c r="B1" s="125"/>
      <c r="C1" s="125"/>
      <c r="D1" s="125"/>
      <c r="E1" s="125"/>
      <c r="F1" s="125"/>
      <c r="G1" s="125"/>
      <c r="H1" s="125"/>
      <c r="I1" s="125"/>
      <c r="J1" s="125"/>
      <c r="K1" s="4"/>
    </row>
    <row r="2" spans="1:11">
      <c r="A2" s="126" t="s">
        <v>971</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523</v>
      </c>
      <c r="B11" s="65">
        <v>0</v>
      </c>
      <c r="D11" s="35">
        <v>-260</v>
      </c>
      <c r="E11" s="1">
        <v>-1398.65</v>
      </c>
      <c r="F11" s="1">
        <f>D11+E11</f>
        <v>-1658.65</v>
      </c>
      <c r="H11" s="1">
        <v>-1503.65</v>
      </c>
      <c r="I11" s="1">
        <v>-2879.33</v>
      </c>
      <c r="J11" s="12"/>
    </row>
    <row r="12" spans="1:11">
      <c r="A12" s="11" t="s">
        <v>763</v>
      </c>
      <c r="B12" s="65">
        <v>0</v>
      </c>
      <c r="D12" s="35">
        <v>-1447.99</v>
      </c>
      <c r="J12" s="12"/>
      <c r="K12" t="s">
        <v>878</v>
      </c>
    </row>
    <row r="13" spans="1:11">
      <c r="A13" s="11" t="s">
        <v>524</v>
      </c>
      <c r="B13" s="65">
        <v>15</v>
      </c>
      <c r="E13" s="1">
        <f>14.62*1.1</f>
        <v>16.082000000000001</v>
      </c>
      <c r="F13" s="1">
        <f t="shared" ref="F13:F22" si="0">D13+E13</f>
        <v>16.082000000000001</v>
      </c>
      <c r="H13" s="1">
        <v>14.62</v>
      </c>
      <c r="J13" s="12"/>
      <c r="K13" s="83"/>
    </row>
    <row r="14" spans="1:11">
      <c r="A14" s="11" t="s">
        <v>525</v>
      </c>
      <c r="B14" s="65">
        <v>120</v>
      </c>
      <c r="D14" s="35">
        <v>75.44</v>
      </c>
      <c r="E14" s="1">
        <f>37.72*1.1</f>
        <v>41.492000000000004</v>
      </c>
      <c r="F14" s="1">
        <f t="shared" si="0"/>
        <v>116.932</v>
      </c>
      <c r="G14" s="1">
        <v>120</v>
      </c>
      <c r="H14" s="1">
        <v>113.16</v>
      </c>
      <c r="I14" s="1">
        <v>339.6</v>
      </c>
      <c r="J14" s="12">
        <f t="shared" ref="J14:J24" si="1">B14/G14</f>
        <v>1</v>
      </c>
    </row>
    <row r="15" spans="1:11">
      <c r="A15" s="11" t="s">
        <v>526</v>
      </c>
      <c r="B15" s="65">
        <v>20</v>
      </c>
      <c r="E15" s="1">
        <v>0</v>
      </c>
      <c r="F15" s="1">
        <f t="shared" si="0"/>
        <v>0</v>
      </c>
      <c r="G15" s="1">
        <v>20</v>
      </c>
      <c r="H15" s="1">
        <v>3.11</v>
      </c>
      <c r="J15" s="12">
        <f t="shared" si="1"/>
        <v>1</v>
      </c>
    </row>
    <row r="16" spans="1:11">
      <c r="A16" s="62" t="s">
        <v>883</v>
      </c>
      <c r="B16" s="65">
        <v>750</v>
      </c>
      <c r="J16" s="12"/>
    </row>
    <row r="17" spans="1:11">
      <c r="A17" s="62" t="s">
        <v>880</v>
      </c>
      <c r="B17" s="65">
        <v>500</v>
      </c>
      <c r="J17" s="12"/>
    </row>
    <row r="18" spans="1:11">
      <c r="A18" s="11" t="s">
        <v>527</v>
      </c>
      <c r="B18" s="65">
        <v>2200</v>
      </c>
      <c r="D18" s="35">
        <v>348.38</v>
      </c>
      <c r="E18" s="1">
        <f>2709.53*1.1</f>
        <v>2980.4830000000006</v>
      </c>
      <c r="F18" s="1">
        <f t="shared" si="0"/>
        <v>3328.8630000000007</v>
      </c>
      <c r="G18" s="1">
        <v>1500</v>
      </c>
      <c r="H18" s="1">
        <v>3802.3</v>
      </c>
      <c r="I18" s="1">
        <v>2053.4</v>
      </c>
      <c r="J18" s="12">
        <f t="shared" si="1"/>
        <v>1.4666666666666666</v>
      </c>
    </row>
    <row r="19" spans="1:11">
      <c r="A19" s="11" t="s">
        <v>528</v>
      </c>
      <c r="B19" s="65">
        <v>375</v>
      </c>
      <c r="D19" s="35">
        <v>62.15</v>
      </c>
      <c r="E19" s="1">
        <v>600</v>
      </c>
      <c r="F19" s="1">
        <f t="shared" si="0"/>
        <v>662.15</v>
      </c>
      <c r="G19" s="1">
        <v>375</v>
      </c>
      <c r="H19" s="1">
        <v>848.51</v>
      </c>
      <c r="I19" s="1">
        <v>725</v>
      </c>
      <c r="J19" s="12">
        <f t="shared" si="1"/>
        <v>1</v>
      </c>
    </row>
    <row r="20" spans="1:11">
      <c r="A20" s="11" t="s">
        <v>529</v>
      </c>
      <c r="B20" s="65">
        <v>8000</v>
      </c>
      <c r="D20" s="35">
        <v>3224.38</v>
      </c>
      <c r="E20" s="1">
        <f>3221.15*1.1</f>
        <v>3543.2650000000003</v>
      </c>
      <c r="F20" s="1">
        <f t="shared" si="0"/>
        <v>6767.6450000000004</v>
      </c>
      <c r="G20" s="1">
        <v>9450</v>
      </c>
      <c r="H20" s="1">
        <v>6644.2</v>
      </c>
      <c r="I20" s="1">
        <v>9890.67</v>
      </c>
      <c r="J20" s="12">
        <f t="shared" si="1"/>
        <v>0.84656084656084651</v>
      </c>
      <c r="K20" t="s">
        <v>879</v>
      </c>
    </row>
    <row r="21" spans="1:11">
      <c r="A21" s="11" t="s">
        <v>530</v>
      </c>
      <c r="B21" s="65">
        <v>800</v>
      </c>
      <c r="D21" s="35">
        <v>224.59</v>
      </c>
      <c r="E21" s="1">
        <f>212.54*1.1</f>
        <v>233.79400000000001</v>
      </c>
      <c r="F21" s="1">
        <f t="shared" si="0"/>
        <v>458.38400000000001</v>
      </c>
      <c r="G21" s="1">
        <v>800</v>
      </c>
      <c r="H21" s="1">
        <v>445.3</v>
      </c>
      <c r="I21" s="1">
        <v>723.97</v>
      </c>
      <c r="J21" s="12">
        <f t="shared" si="1"/>
        <v>1</v>
      </c>
    </row>
    <row r="22" spans="1:11">
      <c r="A22" s="11" t="s">
        <v>764</v>
      </c>
      <c r="B22" s="77">
        <v>24</v>
      </c>
      <c r="D22" s="35">
        <v>17</v>
      </c>
      <c r="F22" s="1">
        <f t="shared" si="0"/>
        <v>17</v>
      </c>
      <c r="J22" s="12"/>
    </row>
    <row r="23" spans="1:11">
      <c r="B23" s="66" t="s">
        <v>21</v>
      </c>
      <c r="D23" s="13" t="s">
        <v>21</v>
      </c>
      <c r="E23" s="13"/>
      <c r="F23" s="13" t="s">
        <v>21</v>
      </c>
      <c r="G23" s="13" t="s">
        <v>21</v>
      </c>
      <c r="H23" s="13" t="s">
        <v>21</v>
      </c>
      <c r="I23" s="13" t="s">
        <v>21</v>
      </c>
      <c r="J23" s="13" t="s">
        <v>21</v>
      </c>
    </row>
    <row r="24" spans="1:11">
      <c r="A24" s="11" t="s">
        <v>22</v>
      </c>
      <c r="B24" s="65">
        <f>SUM(B11:B22)</f>
        <v>12804</v>
      </c>
      <c r="C24" s="11"/>
      <c r="D24" s="1">
        <f>SUM(D11:D22)</f>
        <v>2243.9500000000003</v>
      </c>
      <c r="E24" s="1">
        <f>SUM(E11:E22)</f>
        <v>6016.4660000000003</v>
      </c>
      <c r="F24" s="1">
        <f>SUM(F11:F22)</f>
        <v>9708.4060000000009</v>
      </c>
      <c r="G24" s="1">
        <v>12265</v>
      </c>
      <c r="H24" s="1">
        <v>10367.549999999999</v>
      </c>
      <c r="I24" s="1">
        <v>10853.31</v>
      </c>
      <c r="J24" s="12">
        <f t="shared" si="1"/>
        <v>1.0439461883408072</v>
      </c>
      <c r="K24" s="11"/>
    </row>
    <row r="25" spans="1:11">
      <c r="B25" s="13" t="s">
        <v>21</v>
      </c>
      <c r="D25" s="13" t="s">
        <v>21</v>
      </c>
      <c r="E25" s="13"/>
      <c r="F25" s="13" t="s">
        <v>21</v>
      </c>
      <c r="G25" s="13" t="s">
        <v>21</v>
      </c>
      <c r="H25" s="13" t="s">
        <v>21</v>
      </c>
      <c r="I25" s="13" t="s">
        <v>21</v>
      </c>
      <c r="J25" s="13" t="s">
        <v>21</v>
      </c>
    </row>
    <row r="26" spans="1:11">
      <c r="B26" s="64"/>
    </row>
    <row r="27" spans="1:11">
      <c r="A27" t="s">
        <v>884</v>
      </c>
    </row>
    <row r="30" spans="1:11">
      <c r="A30" s="62" t="s">
        <v>882</v>
      </c>
    </row>
    <row r="31" spans="1:11">
      <c r="A31" s="62" t="s">
        <v>881</v>
      </c>
    </row>
  </sheetData>
  <mergeCells count="3">
    <mergeCell ref="A1:J1"/>
    <mergeCell ref="A2:J2"/>
    <mergeCell ref="A3:J3"/>
  </mergeCells>
  <phoneticPr fontId="0" type="noConversion"/>
  <pageMargins left="0.74803149606299213" right="0.74803149606299213" top="0.74803149606299213" bottom="0.74803149606299213" header="0.51181102362204722" footer="0.51181102362204722"/>
  <pageSetup scale="80" orientation="landscape" r:id="rId1"/>
  <headerFooter alignWithMargins="0"/>
</worksheet>
</file>

<file path=xl/worksheets/sheet32.xml><?xml version="1.0" encoding="utf-8"?>
<worksheet xmlns="http://schemas.openxmlformats.org/spreadsheetml/2006/main" xmlns:r="http://schemas.openxmlformats.org/officeDocument/2006/relationships">
  <sheetPr>
    <pageSetUpPr fitToPage="1"/>
  </sheetPr>
  <dimension ref="A1:K21"/>
  <sheetViews>
    <sheetView workbookViewId="0">
      <pane ySplit="8" topLeftCell="A9" activePane="bottomLeft" state="frozenSplit"/>
      <selection pane="bottomLeft" activeCell="B31" sqref="B31"/>
    </sheetView>
  </sheetViews>
  <sheetFormatPr defaultColWidth="9.1640625" defaultRowHeight="12.75"/>
  <cols>
    <col min="1" max="1" width="44.5" customWidth="1"/>
    <col min="2" max="2" width="14.5" customWidth="1"/>
    <col min="3" max="3" width="3.5" customWidth="1"/>
    <col min="4" max="5" width="14.5" style="1" customWidth="1"/>
    <col min="6" max="6" width="13.5" style="1" customWidth="1"/>
    <col min="7" max="9" width="14.5" style="1" customWidth="1"/>
    <col min="10" max="10" width="10.6640625" style="2" customWidth="1"/>
    <col min="11" max="11" width="55.5" customWidth="1"/>
  </cols>
  <sheetData>
    <row r="1" spans="1:11" ht="15">
      <c r="A1" s="125" t="s">
        <v>0</v>
      </c>
      <c r="B1" s="125"/>
      <c r="C1" s="125"/>
      <c r="D1" s="125"/>
      <c r="E1" s="125"/>
      <c r="F1" s="125"/>
      <c r="G1" s="125"/>
      <c r="H1" s="125"/>
      <c r="I1" s="125"/>
      <c r="J1" s="125"/>
      <c r="K1" s="4"/>
    </row>
    <row r="2" spans="1:11">
      <c r="A2" s="126" t="s">
        <v>972</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531</v>
      </c>
      <c r="B11" s="65">
        <v>0</v>
      </c>
      <c r="E11" s="1">
        <v>0</v>
      </c>
      <c r="F11" s="1">
        <f>D11+E11</f>
        <v>0</v>
      </c>
      <c r="G11" s="1">
        <v>-1500</v>
      </c>
      <c r="H11" s="1">
        <v>-86.25</v>
      </c>
      <c r="I11" s="1">
        <v>-5389.53</v>
      </c>
      <c r="J11" s="12">
        <f>B11/G11</f>
        <v>0</v>
      </c>
    </row>
    <row r="12" spans="1:11">
      <c r="A12" s="11" t="s">
        <v>532</v>
      </c>
      <c r="B12" s="65">
        <v>120</v>
      </c>
      <c r="D12" s="35">
        <v>80.64</v>
      </c>
      <c r="E12" s="1">
        <v>32.24</v>
      </c>
      <c r="F12" s="1">
        <f t="shared" ref="F12:F17" si="0">D12+E12</f>
        <v>112.88</v>
      </c>
      <c r="G12" s="1">
        <v>100</v>
      </c>
      <c r="H12" s="1">
        <v>96.72</v>
      </c>
      <c r="I12" s="1">
        <v>96.72</v>
      </c>
      <c r="J12" s="12">
        <f>B12/G12</f>
        <v>1.2</v>
      </c>
    </row>
    <row r="13" spans="1:11">
      <c r="A13" s="11" t="s">
        <v>533</v>
      </c>
      <c r="B13" s="65">
        <v>0</v>
      </c>
      <c r="D13" s="35">
        <v>0.01</v>
      </c>
      <c r="E13" s="1">
        <v>0</v>
      </c>
      <c r="F13" s="1">
        <f t="shared" si="0"/>
        <v>0.01</v>
      </c>
      <c r="I13" s="1">
        <v>0.09</v>
      </c>
      <c r="J13" s="12"/>
    </row>
    <row r="14" spans="1:11">
      <c r="A14" s="11" t="s">
        <v>534</v>
      </c>
      <c r="B14" s="65">
        <v>2000</v>
      </c>
      <c r="D14" s="35">
        <v>310.3</v>
      </c>
      <c r="E14" s="1">
        <v>83.62</v>
      </c>
      <c r="F14" s="1">
        <f t="shared" si="0"/>
        <v>393.92</v>
      </c>
      <c r="G14" s="1">
        <v>4500</v>
      </c>
      <c r="H14" s="1">
        <v>83.62</v>
      </c>
      <c r="I14" s="1">
        <v>5900.45</v>
      </c>
      <c r="J14" s="12">
        <f t="shared" ref="J14:J19" si="1">B14/G14</f>
        <v>0.44444444444444442</v>
      </c>
    </row>
    <row r="15" spans="1:11">
      <c r="A15" s="11" t="s">
        <v>535</v>
      </c>
      <c r="B15" s="65">
        <v>100</v>
      </c>
      <c r="D15" s="35"/>
      <c r="E15" s="1">
        <v>0</v>
      </c>
      <c r="F15" s="1">
        <f t="shared" si="0"/>
        <v>0</v>
      </c>
      <c r="G15" s="1">
        <v>200</v>
      </c>
      <c r="I15" s="1">
        <v>813.02</v>
      </c>
      <c r="J15" s="12">
        <f t="shared" si="1"/>
        <v>0.5</v>
      </c>
    </row>
    <row r="16" spans="1:11">
      <c r="A16" s="11" t="s">
        <v>536</v>
      </c>
      <c r="B16" s="65">
        <v>100</v>
      </c>
      <c r="D16" s="35"/>
      <c r="E16" s="1">
        <v>0</v>
      </c>
      <c r="F16" s="1">
        <f t="shared" si="0"/>
        <v>0</v>
      </c>
      <c r="G16" s="1">
        <v>200</v>
      </c>
      <c r="J16" s="12">
        <f t="shared" si="1"/>
        <v>0.5</v>
      </c>
    </row>
    <row r="17" spans="1:11">
      <c r="A17" s="11" t="s">
        <v>537</v>
      </c>
      <c r="B17" s="65">
        <v>500</v>
      </c>
      <c r="D17" s="35">
        <v>152.43</v>
      </c>
      <c r="E17" s="1">
        <v>311.43</v>
      </c>
      <c r="F17" s="1">
        <f t="shared" si="0"/>
        <v>463.86</v>
      </c>
      <c r="G17" s="1">
        <v>1000</v>
      </c>
      <c r="H17" s="1">
        <v>444.43</v>
      </c>
      <c r="I17" s="1">
        <v>1720.27</v>
      </c>
      <c r="J17" s="12">
        <f t="shared" si="1"/>
        <v>0.5</v>
      </c>
    </row>
    <row r="18" spans="1:11">
      <c r="B18" s="66" t="s">
        <v>21</v>
      </c>
      <c r="D18" s="13" t="s">
        <v>21</v>
      </c>
      <c r="E18" s="13"/>
      <c r="F18" s="13" t="s">
        <v>21</v>
      </c>
      <c r="G18" s="13" t="s">
        <v>21</v>
      </c>
      <c r="H18" s="13" t="s">
        <v>21</v>
      </c>
      <c r="I18" s="13" t="s">
        <v>21</v>
      </c>
      <c r="J18" s="13" t="s">
        <v>21</v>
      </c>
    </row>
    <row r="19" spans="1:11">
      <c r="A19" s="11" t="s">
        <v>22</v>
      </c>
      <c r="B19" s="65">
        <f>SUM(B11:B17)</f>
        <v>2820</v>
      </c>
      <c r="C19" s="11"/>
      <c r="D19" s="1">
        <f>SUM(D11:D17)</f>
        <v>543.38000000000011</v>
      </c>
      <c r="E19" s="1">
        <f>SUM(E11:E17)</f>
        <v>427.29</v>
      </c>
      <c r="F19" s="1">
        <f>SUM(F11:F17)</f>
        <v>970.67000000000007</v>
      </c>
      <c r="G19" s="1">
        <v>4500</v>
      </c>
      <c r="H19" s="1">
        <v>538.52</v>
      </c>
      <c r="I19" s="1">
        <v>3141.02</v>
      </c>
      <c r="J19" s="12">
        <f t="shared" si="1"/>
        <v>0.62666666666666671</v>
      </c>
      <c r="K19" s="11"/>
    </row>
    <row r="20" spans="1:11">
      <c r="B20" s="13" t="s">
        <v>21</v>
      </c>
      <c r="D20" s="13" t="s">
        <v>21</v>
      </c>
      <c r="E20" s="13"/>
      <c r="F20" s="13" t="s">
        <v>21</v>
      </c>
      <c r="G20" s="13" t="s">
        <v>21</v>
      </c>
      <c r="H20" s="13" t="s">
        <v>21</v>
      </c>
      <c r="I20" s="13" t="s">
        <v>21</v>
      </c>
      <c r="J20" s="13" t="s">
        <v>21</v>
      </c>
    </row>
    <row r="21" spans="1:11">
      <c r="B21" s="64"/>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33.xml><?xml version="1.0" encoding="utf-8"?>
<worksheet xmlns="http://schemas.openxmlformats.org/spreadsheetml/2006/main" xmlns:r="http://schemas.openxmlformats.org/officeDocument/2006/relationships">
  <sheetPr>
    <pageSetUpPr fitToPage="1"/>
  </sheetPr>
  <dimension ref="A1:K17"/>
  <sheetViews>
    <sheetView workbookViewId="0">
      <pane ySplit="8" topLeftCell="A9" activePane="bottomLeft" state="frozenSplit"/>
      <selection pane="bottomLeft" activeCell="B6" sqref="B6"/>
    </sheetView>
  </sheetViews>
  <sheetFormatPr defaultColWidth="9.1640625" defaultRowHeight="12.75" outlineLevelCol="1"/>
  <cols>
    <col min="1" max="1" width="38.1640625" customWidth="1"/>
    <col min="2" max="2" width="14.5" customWidth="1"/>
    <col min="3" max="3" width="3.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973</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538</v>
      </c>
      <c r="B11" s="1">
        <f>'COMPASS - Acct Detail'!B51</f>
        <v>40380</v>
      </c>
      <c r="D11" s="1">
        <f>'COMPASS - Acct Detail'!D51</f>
        <v>-31187.219999999968</v>
      </c>
      <c r="E11" s="1">
        <f>'COMPASS - Acct Detail'!E51</f>
        <v>44888.476000000126</v>
      </c>
      <c r="F11" s="1">
        <f>'COMPASS - Acct Detail'!F51</f>
        <v>13701.256000000538</v>
      </c>
      <c r="G11" s="1">
        <v>48625</v>
      </c>
      <c r="H11" s="1">
        <v>29457.5099999999</v>
      </c>
      <c r="I11" s="1">
        <v>30478.680000000099</v>
      </c>
      <c r="J11" s="12">
        <f t="shared" ref="J11:J16" si="0">B11/G11</f>
        <v>0.83043701799485858</v>
      </c>
    </row>
    <row r="12" spans="1:11">
      <c r="A12" s="11" t="s">
        <v>539</v>
      </c>
      <c r="B12" s="1">
        <f>'OMBUDS - Acct Detail'!B26</f>
        <v>72040</v>
      </c>
      <c r="D12" s="1">
        <f>'OMBUDS - Acct Detail'!D26</f>
        <v>5993.93</v>
      </c>
      <c r="E12" s="1">
        <f>'OMBUDS - Acct Detail'!E26</f>
        <v>62230.009999999995</v>
      </c>
      <c r="F12" s="1">
        <f>'OMBUDS - Acct Detail'!F26</f>
        <v>68223.939999999988</v>
      </c>
      <c r="G12" s="1">
        <v>76050</v>
      </c>
      <c r="H12" s="1">
        <v>67777.7</v>
      </c>
      <c r="I12" s="1">
        <v>68213.850000000006</v>
      </c>
      <c r="J12" s="12">
        <f t="shared" si="0"/>
        <v>0.94727153188691648</v>
      </c>
    </row>
    <row r="13" spans="1:11">
      <c r="A13" s="11" t="s">
        <v>540</v>
      </c>
      <c r="B13" s="1">
        <f>'CAMPUS EVENTS - Acct Detail'!B72</f>
        <v>494350</v>
      </c>
      <c r="D13" s="1">
        <f>'CAMPUS EVENTS - Acct Detail'!D72</f>
        <v>348467.41999999993</v>
      </c>
      <c r="E13" s="1">
        <f>'CAMPUS EVENTS - Acct Detail'!E72</f>
        <v>153493.66500000001</v>
      </c>
      <c r="F13" s="1">
        <f>'CAMPUS EVENTS - Acct Detail'!F72</f>
        <v>501961.08500000014</v>
      </c>
      <c r="G13" s="1">
        <v>472532</v>
      </c>
      <c r="H13" s="1">
        <v>410455.14</v>
      </c>
      <c r="I13" s="1">
        <v>416271.26</v>
      </c>
      <c r="J13" s="12">
        <f t="shared" si="0"/>
        <v>1.0461725343468802</v>
      </c>
    </row>
    <row r="14" spans="1:11">
      <c r="A14" s="11" t="s">
        <v>541</v>
      </c>
      <c r="B14" s="1">
        <f>'SILHOUETTE - Acct Detail'!B41</f>
        <v>183700</v>
      </c>
      <c r="D14" s="1">
        <f>'SILHOUETTE - Acct Detail'!D41</f>
        <v>98444.4</v>
      </c>
      <c r="E14" s="1">
        <f>'SILHOUETTE - Acct Detail'!E41</f>
        <v>77370.599999999991</v>
      </c>
      <c r="F14" s="1">
        <f>'SILHOUETTE - Acct Detail'!F41</f>
        <v>175814.99999999997</v>
      </c>
      <c r="G14" s="1">
        <v>195100</v>
      </c>
      <c r="H14" s="1">
        <v>170210.92</v>
      </c>
      <c r="I14" s="1">
        <v>169128.9</v>
      </c>
      <c r="J14" s="12">
        <f t="shared" si="0"/>
        <v>0.94156842644797545</v>
      </c>
    </row>
    <row r="15" spans="1:11">
      <c r="B15" s="13" t="s">
        <v>21</v>
      </c>
      <c r="D15" s="13" t="s">
        <v>21</v>
      </c>
      <c r="E15" s="13"/>
      <c r="F15" s="13" t="s">
        <v>21</v>
      </c>
      <c r="G15" s="13" t="s">
        <v>21</v>
      </c>
      <c r="H15" s="13" t="s">
        <v>21</v>
      </c>
      <c r="I15" s="13" t="s">
        <v>21</v>
      </c>
      <c r="J15" s="13" t="s">
        <v>21</v>
      </c>
    </row>
    <row r="16" spans="1:11">
      <c r="A16" s="11" t="s">
        <v>22</v>
      </c>
      <c r="B16" s="1">
        <f>SUM(B11:B15)</f>
        <v>790470</v>
      </c>
      <c r="C16" s="11"/>
      <c r="D16" s="1">
        <f>SUM(D11:D14)</f>
        <v>421718.52999999991</v>
      </c>
      <c r="E16" s="1">
        <f>SUM(E11:E14)</f>
        <v>337982.75100000011</v>
      </c>
      <c r="F16" s="1">
        <f>SUM(F11:F14)</f>
        <v>759701.28100000066</v>
      </c>
      <c r="G16" s="1">
        <v>792307</v>
      </c>
      <c r="H16" s="1">
        <v>677901.27</v>
      </c>
      <c r="I16" s="1">
        <v>684092.69</v>
      </c>
      <c r="J16" s="12">
        <f t="shared" si="0"/>
        <v>0.99768145428476585</v>
      </c>
      <c r="K16" s="11"/>
    </row>
    <row r="17" spans="2:10">
      <c r="B17" s="13" t="s">
        <v>21</v>
      </c>
      <c r="D17" s="13" t="s">
        <v>21</v>
      </c>
      <c r="E17" s="13"/>
      <c r="F17" s="13" t="s">
        <v>21</v>
      </c>
      <c r="G17" s="13" t="s">
        <v>21</v>
      </c>
      <c r="H17" s="13" t="s">
        <v>21</v>
      </c>
      <c r="I17" s="13" t="s">
        <v>21</v>
      </c>
      <c r="J17" s="13" t="s">
        <v>21</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34.xml><?xml version="1.0" encoding="utf-8"?>
<worksheet xmlns="http://schemas.openxmlformats.org/spreadsheetml/2006/main" xmlns:r="http://schemas.openxmlformats.org/officeDocument/2006/relationships">
  <sheetPr>
    <pageSetUpPr fitToPage="1"/>
  </sheetPr>
  <dimension ref="A1:K56"/>
  <sheetViews>
    <sheetView workbookViewId="0">
      <pane ySplit="8" topLeftCell="A21" activePane="bottomLeft" state="frozenSplit"/>
      <selection pane="bottomLeft" activeCell="A54" sqref="A54"/>
    </sheetView>
  </sheetViews>
  <sheetFormatPr defaultColWidth="9.1640625" defaultRowHeight="12.75" outlineLevelCol="1"/>
  <cols>
    <col min="1" max="1" width="55.5" customWidth="1"/>
    <col min="2" max="2" width="14.5" customWidth="1"/>
    <col min="3" max="3" width="3" customWidth="1"/>
    <col min="4" max="5" width="14.5" style="1" hidden="1" customWidth="1" outlineLevel="1"/>
    <col min="6" max="6" width="14" style="1" customWidth="1" collapsed="1"/>
    <col min="7" max="7" width="13.83203125" style="1" customWidth="1"/>
    <col min="8" max="8" width="13.5" style="1" customWidth="1"/>
    <col min="9" max="9" width="13.164062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974</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542</v>
      </c>
      <c r="B11" s="65">
        <v>-105000</v>
      </c>
      <c r="D11" s="35">
        <v>-135888.5</v>
      </c>
      <c r="E11" s="1">
        <v>-50367.96</v>
      </c>
      <c r="F11" s="1">
        <f>D11+E11</f>
        <v>-186256.46</v>
      </c>
      <c r="G11" s="1">
        <v>-230000</v>
      </c>
      <c r="H11" s="1">
        <v>-207115.73</v>
      </c>
      <c r="I11" s="1">
        <v>-270846.75</v>
      </c>
      <c r="J11" s="12">
        <f t="shared" ref="J11:J51" si="0">B11/G11</f>
        <v>0.45652173913043476</v>
      </c>
    </row>
    <row r="12" spans="1:11">
      <c r="A12" s="11" t="s">
        <v>543</v>
      </c>
      <c r="B12" s="65">
        <v>-13000</v>
      </c>
      <c r="D12" s="35">
        <v>-7645.01</v>
      </c>
      <c r="E12" s="1">
        <v>-4146.43</v>
      </c>
      <c r="F12" s="1">
        <f t="shared" ref="F12:F49" si="1">D12+E12</f>
        <v>-11791.44</v>
      </c>
      <c r="G12" s="1">
        <v>-9000</v>
      </c>
      <c r="H12" s="1">
        <v>-10598.32</v>
      </c>
      <c r="I12" s="1">
        <v>-10805.76</v>
      </c>
      <c r="J12" s="12">
        <f t="shared" si="0"/>
        <v>1.4444444444444444</v>
      </c>
    </row>
    <row r="13" spans="1:11">
      <c r="A13" s="11" t="s">
        <v>544</v>
      </c>
      <c r="B13" s="65">
        <v>-3500</v>
      </c>
      <c r="D13" s="35">
        <v>-2368.0500000000002</v>
      </c>
      <c r="E13" s="1">
        <v>-4726.3500000000004</v>
      </c>
      <c r="F13" s="1">
        <f t="shared" si="1"/>
        <v>-7094.4000000000005</v>
      </c>
      <c r="G13" s="1">
        <v>-3500</v>
      </c>
      <c r="H13" s="1">
        <v>-7199.98</v>
      </c>
      <c r="I13" s="1">
        <v>-9977.6200000000008</v>
      </c>
      <c r="J13" s="12">
        <f t="shared" si="0"/>
        <v>1</v>
      </c>
    </row>
    <row r="14" spans="1:11">
      <c r="A14" s="11" t="s">
        <v>545</v>
      </c>
      <c r="B14" s="65">
        <v>0</v>
      </c>
      <c r="D14" s="35">
        <v>-45.2</v>
      </c>
      <c r="E14" s="1">
        <v>-1007.65</v>
      </c>
      <c r="F14" s="1">
        <f t="shared" si="1"/>
        <v>-1052.8499999999999</v>
      </c>
      <c r="H14" s="1">
        <v>-7176.9</v>
      </c>
      <c r="I14" s="1">
        <v>-10077.65</v>
      </c>
      <c r="J14" s="12"/>
    </row>
    <row r="15" spans="1:11">
      <c r="A15" s="11" t="s">
        <v>546</v>
      </c>
      <c r="B15" s="65">
        <v>-28000</v>
      </c>
      <c r="D15" s="35">
        <v>-21893.9</v>
      </c>
      <c r="E15" s="1">
        <v>-15940.91</v>
      </c>
      <c r="F15" s="1">
        <f t="shared" si="1"/>
        <v>-37834.81</v>
      </c>
      <c r="G15" s="1">
        <v>-35000</v>
      </c>
      <c r="H15" s="1">
        <v>-41044.69</v>
      </c>
      <c r="I15" s="1">
        <v>-54844.67</v>
      </c>
      <c r="J15" s="12">
        <f t="shared" si="0"/>
        <v>0.8</v>
      </c>
    </row>
    <row r="16" spans="1:11">
      <c r="A16" s="11" t="s">
        <v>547</v>
      </c>
      <c r="B16" s="65">
        <v>-1400000</v>
      </c>
      <c r="D16" s="35">
        <v>-1006178.15</v>
      </c>
      <c r="E16" s="1">
        <v>-629573.68999999994</v>
      </c>
      <c r="F16" s="1">
        <f t="shared" si="1"/>
        <v>-1635751.8399999999</v>
      </c>
      <c r="G16" s="1">
        <v>-1400000</v>
      </c>
      <c r="H16" s="1">
        <v>-1606819.31</v>
      </c>
      <c r="I16" s="1">
        <v>-1521094.47</v>
      </c>
      <c r="J16" s="12">
        <f t="shared" si="0"/>
        <v>1</v>
      </c>
    </row>
    <row r="17" spans="1:10">
      <c r="A17" s="11" t="s">
        <v>548</v>
      </c>
      <c r="B17" s="65">
        <v>-12000</v>
      </c>
      <c r="D17" s="35">
        <v>-11539.53</v>
      </c>
      <c r="E17" s="1">
        <v>-6723.22</v>
      </c>
      <c r="F17" s="1">
        <f t="shared" si="1"/>
        <v>-18262.75</v>
      </c>
      <c r="G17" s="1">
        <v>-20000</v>
      </c>
      <c r="H17" s="1">
        <v>-22585.56</v>
      </c>
      <c r="I17" s="1">
        <v>-51479.07</v>
      </c>
      <c r="J17" s="12">
        <f t="shared" si="0"/>
        <v>0.6</v>
      </c>
    </row>
    <row r="18" spans="1:10">
      <c r="A18" s="11" t="s">
        <v>549</v>
      </c>
      <c r="B18" s="65">
        <v>-115000</v>
      </c>
      <c r="D18" s="35">
        <v>-74007.75</v>
      </c>
      <c r="E18" s="1">
        <v>-46057.97</v>
      </c>
      <c r="F18" s="1">
        <f t="shared" si="1"/>
        <v>-120065.72</v>
      </c>
      <c r="G18" s="1">
        <v>-110000</v>
      </c>
      <c r="H18" s="1">
        <v>-128373.73</v>
      </c>
      <c r="I18" s="1">
        <v>-95176.62</v>
      </c>
      <c r="J18" s="12">
        <f t="shared" si="0"/>
        <v>1.0454545454545454</v>
      </c>
    </row>
    <row r="19" spans="1:10">
      <c r="A19" s="11" t="s">
        <v>550</v>
      </c>
      <c r="B19" s="65">
        <v>-200</v>
      </c>
      <c r="F19" s="1">
        <f t="shared" si="1"/>
        <v>0</v>
      </c>
      <c r="G19" s="1">
        <v>-300</v>
      </c>
      <c r="J19" s="12">
        <f t="shared" si="0"/>
        <v>0.66666666666666663</v>
      </c>
    </row>
    <row r="20" spans="1:10">
      <c r="A20" s="11" t="s">
        <v>551</v>
      </c>
      <c r="B20" s="65">
        <v>-10000</v>
      </c>
      <c r="D20" s="35">
        <v>-1675.17</v>
      </c>
      <c r="E20" s="1">
        <v>-1788.16</v>
      </c>
      <c r="F20" s="1">
        <f t="shared" si="1"/>
        <v>-3463.33</v>
      </c>
      <c r="G20" s="1">
        <v>-10000</v>
      </c>
      <c r="H20" s="1">
        <v>-13468.74</v>
      </c>
      <c r="I20" s="1">
        <v>-9673.6200000000008</v>
      </c>
      <c r="J20" s="12">
        <f t="shared" si="0"/>
        <v>1</v>
      </c>
    </row>
    <row r="21" spans="1:10">
      <c r="A21" s="11" t="s">
        <v>552</v>
      </c>
      <c r="B21" s="65">
        <v>-280000</v>
      </c>
      <c r="D21" s="35">
        <v>-255826.12</v>
      </c>
      <c r="E21" s="1">
        <v>-73691.58</v>
      </c>
      <c r="F21" s="1">
        <f t="shared" si="1"/>
        <v>-329517.7</v>
      </c>
      <c r="G21" s="1">
        <v>-210000</v>
      </c>
      <c r="H21" s="1">
        <v>-246003.05</v>
      </c>
      <c r="I21" s="1">
        <v>-236338.73</v>
      </c>
      <c r="J21" s="12">
        <f t="shared" si="0"/>
        <v>1.3333333333333333</v>
      </c>
    </row>
    <row r="22" spans="1:10">
      <c r="A22" s="11" t="s">
        <v>553</v>
      </c>
      <c r="B22" s="65">
        <v>-10000</v>
      </c>
      <c r="D22" s="35">
        <v>-6826.25</v>
      </c>
      <c r="E22" s="1">
        <v>-4252.4799999999996</v>
      </c>
      <c r="F22" s="1">
        <f t="shared" si="1"/>
        <v>-11078.73</v>
      </c>
      <c r="G22" s="1">
        <v>-9000</v>
      </c>
      <c r="H22" s="1">
        <v>-11673.42</v>
      </c>
      <c r="I22" s="1">
        <v>-8280.0499999999993</v>
      </c>
      <c r="J22" s="12">
        <f t="shared" si="0"/>
        <v>1.1111111111111112</v>
      </c>
    </row>
    <row r="23" spans="1:10">
      <c r="A23" s="11" t="s">
        <v>554</v>
      </c>
      <c r="B23" s="65">
        <v>0</v>
      </c>
      <c r="D23" s="35"/>
      <c r="F23" s="1">
        <f t="shared" si="1"/>
        <v>0</v>
      </c>
      <c r="I23" s="1">
        <v>-2722.63</v>
      </c>
      <c r="J23" s="12"/>
    </row>
    <row r="24" spans="1:10">
      <c r="A24" s="11" t="s">
        <v>555</v>
      </c>
      <c r="B24" s="65">
        <v>105000</v>
      </c>
      <c r="D24" s="35">
        <v>140349.75</v>
      </c>
      <c r="E24" s="1">
        <v>44838.25</v>
      </c>
      <c r="F24" s="1">
        <f t="shared" si="1"/>
        <v>185188</v>
      </c>
      <c r="G24" s="1">
        <v>250000</v>
      </c>
      <c r="H24" s="1">
        <v>207953.03</v>
      </c>
      <c r="I24" s="1">
        <v>273217.5</v>
      </c>
      <c r="J24" s="12">
        <f t="shared" si="0"/>
        <v>0.42</v>
      </c>
    </row>
    <row r="25" spans="1:10">
      <c r="A25" s="11" t="s">
        <v>556</v>
      </c>
      <c r="B25" s="65">
        <v>3500</v>
      </c>
      <c r="D25" s="35">
        <v>2367.25</v>
      </c>
      <c r="E25" s="1">
        <v>5705.68</v>
      </c>
      <c r="F25" s="1">
        <f t="shared" si="1"/>
        <v>8072.93</v>
      </c>
      <c r="G25" s="1">
        <v>3500</v>
      </c>
      <c r="H25" s="1">
        <v>8209.9</v>
      </c>
      <c r="I25" s="1">
        <v>9997.2099999999991</v>
      </c>
      <c r="J25" s="12">
        <f t="shared" si="0"/>
        <v>1</v>
      </c>
    </row>
    <row r="26" spans="1:10">
      <c r="A26" s="11" t="s">
        <v>557</v>
      </c>
      <c r="B26" s="65">
        <v>0</v>
      </c>
      <c r="E26" s="1">
        <v>1000</v>
      </c>
      <c r="F26" s="1">
        <f t="shared" si="1"/>
        <v>1000</v>
      </c>
      <c r="H26" s="1">
        <v>6116.13</v>
      </c>
      <c r="I26" s="1">
        <v>9731.92</v>
      </c>
      <c r="J26" s="12"/>
    </row>
    <row r="27" spans="1:10">
      <c r="A27" s="11" t="s">
        <v>558</v>
      </c>
      <c r="B27" s="65">
        <v>28000</v>
      </c>
      <c r="D27" s="35">
        <v>21963.42</v>
      </c>
      <c r="E27" s="1">
        <v>15650.05</v>
      </c>
      <c r="F27" s="1">
        <f t="shared" si="1"/>
        <v>37613.47</v>
      </c>
      <c r="G27" s="1">
        <v>35000</v>
      </c>
      <c r="H27" s="1">
        <v>41047.08</v>
      </c>
      <c r="I27" s="1">
        <v>54269.14</v>
      </c>
      <c r="J27" s="12">
        <f t="shared" si="0"/>
        <v>0.8</v>
      </c>
    </row>
    <row r="28" spans="1:10">
      <c r="A28" s="11" t="s">
        <v>559</v>
      </c>
      <c r="B28" s="65">
        <v>1400000</v>
      </c>
      <c r="D28" s="35">
        <v>1006162.95</v>
      </c>
      <c r="E28" s="1">
        <v>629573.68999999994</v>
      </c>
      <c r="F28" s="1">
        <f t="shared" si="1"/>
        <v>1635736.64</v>
      </c>
      <c r="G28" s="1">
        <v>1400000</v>
      </c>
      <c r="H28" s="1">
        <v>1616620.61</v>
      </c>
      <c r="I28" s="1">
        <v>1495455</v>
      </c>
      <c r="J28" s="12">
        <f t="shared" si="0"/>
        <v>1</v>
      </c>
    </row>
    <row r="29" spans="1:10">
      <c r="A29" s="11" t="s">
        <v>560</v>
      </c>
      <c r="B29" s="65">
        <v>12000</v>
      </c>
      <c r="D29" s="35">
        <v>11399.61</v>
      </c>
      <c r="E29" s="1">
        <v>6723.22</v>
      </c>
      <c r="F29" s="1">
        <f t="shared" si="1"/>
        <v>18122.830000000002</v>
      </c>
      <c r="G29" s="1">
        <v>20000</v>
      </c>
      <c r="H29" s="1">
        <v>23070.65</v>
      </c>
      <c r="I29" s="1">
        <v>50406.35</v>
      </c>
      <c r="J29" s="12">
        <f t="shared" si="0"/>
        <v>0.6</v>
      </c>
    </row>
    <row r="30" spans="1:10">
      <c r="A30" s="11" t="s">
        <v>561</v>
      </c>
      <c r="B30" s="65">
        <v>0</v>
      </c>
      <c r="E30" s="1">
        <v>253.12</v>
      </c>
      <c r="F30" s="1">
        <f t="shared" si="1"/>
        <v>253.12</v>
      </c>
      <c r="H30" s="1">
        <v>1724.38</v>
      </c>
      <c r="J30" s="12"/>
    </row>
    <row r="31" spans="1:10">
      <c r="A31" s="11" t="s">
        <v>562</v>
      </c>
      <c r="B31" s="65">
        <v>10000</v>
      </c>
      <c r="D31" s="35">
        <v>6015</v>
      </c>
      <c r="E31" s="1">
        <v>0</v>
      </c>
      <c r="F31" s="1">
        <f t="shared" si="1"/>
        <v>6015</v>
      </c>
      <c r="G31" s="1">
        <v>10000</v>
      </c>
      <c r="H31" s="1">
        <v>6015</v>
      </c>
      <c r="I31" s="1">
        <v>12109</v>
      </c>
      <c r="J31" s="12">
        <f t="shared" si="0"/>
        <v>1</v>
      </c>
    </row>
    <row r="32" spans="1:10">
      <c r="A32" s="11" t="s">
        <v>563</v>
      </c>
      <c r="B32" s="65">
        <v>1700</v>
      </c>
      <c r="D32" s="35">
        <v>689.32</v>
      </c>
      <c r="E32" s="1">
        <v>873.36</v>
      </c>
      <c r="F32" s="1">
        <f t="shared" si="1"/>
        <v>1562.68</v>
      </c>
      <c r="G32" s="1">
        <v>1700</v>
      </c>
      <c r="H32" s="1">
        <v>1351.14</v>
      </c>
      <c r="I32" s="1">
        <v>1467.83</v>
      </c>
      <c r="J32" s="12">
        <f t="shared" si="0"/>
        <v>1</v>
      </c>
    </row>
    <row r="33" spans="1:10">
      <c r="A33" s="11" t="s">
        <v>564</v>
      </c>
      <c r="B33" s="65">
        <v>2200</v>
      </c>
      <c r="D33" s="35">
        <v>1060.5899999999999</v>
      </c>
      <c r="E33" s="1">
        <f>526.59*2</f>
        <v>1053.18</v>
      </c>
      <c r="F33" s="1">
        <f t="shared" si="1"/>
        <v>2113.77</v>
      </c>
      <c r="G33" s="1">
        <v>2200</v>
      </c>
      <c r="H33" s="1">
        <v>1762.7</v>
      </c>
      <c r="I33" s="1">
        <v>2910.48</v>
      </c>
      <c r="J33" s="12">
        <f t="shared" si="0"/>
        <v>1</v>
      </c>
    </row>
    <row r="34" spans="1:10">
      <c r="A34" s="11" t="s">
        <v>565</v>
      </c>
      <c r="B34" s="65">
        <v>300</v>
      </c>
      <c r="D34" s="35">
        <v>23.4</v>
      </c>
      <c r="E34" s="1">
        <v>45</v>
      </c>
      <c r="F34" s="1">
        <f t="shared" si="1"/>
        <v>68.400000000000006</v>
      </c>
      <c r="G34" s="1">
        <v>500</v>
      </c>
      <c r="H34" s="1">
        <v>52.63</v>
      </c>
      <c r="I34" s="1">
        <v>469.38</v>
      </c>
      <c r="J34" s="12">
        <f t="shared" si="0"/>
        <v>0.6</v>
      </c>
    </row>
    <row r="35" spans="1:10">
      <c r="A35" s="11" t="s">
        <v>566</v>
      </c>
      <c r="B35" s="65">
        <v>300</v>
      </c>
      <c r="D35" s="35"/>
      <c r="E35" s="1">
        <v>300</v>
      </c>
      <c r="F35" s="1">
        <f t="shared" si="1"/>
        <v>300</v>
      </c>
      <c r="G35" s="1">
        <v>300</v>
      </c>
      <c r="J35" s="12">
        <f t="shared" si="0"/>
        <v>1</v>
      </c>
    </row>
    <row r="36" spans="1:10">
      <c r="A36" s="11" t="s">
        <v>567</v>
      </c>
      <c r="B36" s="65">
        <v>2000</v>
      </c>
      <c r="D36" s="35">
        <v>789.04</v>
      </c>
      <c r="E36" s="1">
        <v>1000</v>
      </c>
      <c r="F36" s="1">
        <f t="shared" si="1"/>
        <v>1789.04</v>
      </c>
      <c r="G36" s="1">
        <v>2000</v>
      </c>
      <c r="H36" s="1">
        <v>250</v>
      </c>
      <c r="I36" s="1">
        <v>1910.13</v>
      </c>
      <c r="J36" s="12">
        <f t="shared" si="0"/>
        <v>1</v>
      </c>
    </row>
    <row r="37" spans="1:10">
      <c r="A37" s="11" t="s">
        <v>568</v>
      </c>
      <c r="B37" s="65">
        <v>280000</v>
      </c>
      <c r="D37" s="35">
        <v>193315.9</v>
      </c>
      <c r="E37" s="1">
        <f>105623.83*1.1</f>
        <v>116186.21300000002</v>
      </c>
      <c r="F37" s="1">
        <f t="shared" si="1"/>
        <v>309502.11300000001</v>
      </c>
      <c r="G37" s="1">
        <v>180000</v>
      </c>
      <c r="H37" s="1">
        <v>254131.45</v>
      </c>
      <c r="I37" s="1">
        <v>234147.63</v>
      </c>
      <c r="J37" s="12">
        <f t="shared" si="0"/>
        <v>1.5555555555555556</v>
      </c>
    </row>
    <row r="38" spans="1:10">
      <c r="A38" s="11" t="s">
        <v>569</v>
      </c>
      <c r="B38" s="65">
        <v>1000</v>
      </c>
      <c r="D38" s="35">
        <v>657.39</v>
      </c>
      <c r="E38" s="1">
        <v>357.84</v>
      </c>
      <c r="F38" s="1">
        <f t="shared" si="1"/>
        <v>1015.23</v>
      </c>
      <c r="G38" s="1">
        <v>1000</v>
      </c>
      <c r="H38" s="1">
        <v>628.05999999999995</v>
      </c>
      <c r="I38" s="1">
        <v>756.44</v>
      </c>
      <c r="J38" s="12">
        <f t="shared" si="0"/>
        <v>1</v>
      </c>
    </row>
    <row r="39" spans="1:10">
      <c r="A39" s="11" t="s">
        <v>570</v>
      </c>
      <c r="B39" s="65">
        <v>700</v>
      </c>
      <c r="D39" s="35">
        <v>417.69</v>
      </c>
      <c r="E39" s="1">
        <v>250</v>
      </c>
      <c r="F39" s="1">
        <f t="shared" si="1"/>
        <v>667.69</v>
      </c>
      <c r="G39" s="1">
        <v>700</v>
      </c>
      <c r="H39" s="1">
        <v>467.23</v>
      </c>
      <c r="I39" s="1">
        <v>370.91</v>
      </c>
      <c r="J39" s="12">
        <f t="shared" si="0"/>
        <v>1</v>
      </c>
    </row>
    <row r="40" spans="1:10">
      <c r="A40" s="11" t="s">
        <v>571</v>
      </c>
      <c r="B40" s="65">
        <v>4500</v>
      </c>
      <c r="D40" s="35">
        <v>3787.34</v>
      </c>
      <c r="E40" s="1">
        <v>121.25</v>
      </c>
      <c r="F40" s="1">
        <f t="shared" si="1"/>
        <v>3908.59</v>
      </c>
      <c r="G40" s="1">
        <v>4500</v>
      </c>
      <c r="H40" s="1">
        <v>3785.38</v>
      </c>
      <c r="I40" s="1">
        <v>2983.77</v>
      </c>
      <c r="J40" s="12">
        <f t="shared" si="0"/>
        <v>1</v>
      </c>
    </row>
    <row r="41" spans="1:10">
      <c r="A41" s="11" t="s">
        <v>572</v>
      </c>
      <c r="B41" s="65">
        <v>1600</v>
      </c>
      <c r="D41" s="35">
        <v>1290.17</v>
      </c>
      <c r="E41" s="1">
        <v>50</v>
      </c>
      <c r="F41" s="1">
        <f t="shared" si="1"/>
        <v>1340.17</v>
      </c>
      <c r="G41" s="1">
        <v>1600</v>
      </c>
      <c r="H41" s="1">
        <v>1427.16</v>
      </c>
      <c r="I41" s="1">
        <v>1185.8499999999999</v>
      </c>
      <c r="J41" s="12">
        <f t="shared" si="0"/>
        <v>1</v>
      </c>
    </row>
    <row r="42" spans="1:10">
      <c r="A42" s="11" t="s">
        <v>573</v>
      </c>
      <c r="B42" s="65">
        <v>0</v>
      </c>
      <c r="D42" s="35">
        <v>1090</v>
      </c>
      <c r="E42" s="1">
        <v>0</v>
      </c>
      <c r="F42" s="1">
        <f t="shared" si="1"/>
        <v>1090</v>
      </c>
      <c r="G42" s="1">
        <v>3000</v>
      </c>
      <c r="J42" s="12">
        <f t="shared" si="0"/>
        <v>0</v>
      </c>
    </row>
    <row r="43" spans="1:10">
      <c r="A43" s="11" t="s">
        <v>574</v>
      </c>
      <c r="B43" s="65">
        <v>80</v>
      </c>
      <c r="E43" s="1">
        <v>0</v>
      </c>
      <c r="F43" s="1">
        <f t="shared" si="1"/>
        <v>0</v>
      </c>
      <c r="G43" s="1">
        <v>125</v>
      </c>
      <c r="H43" s="1">
        <v>53.45</v>
      </c>
      <c r="I43" s="1">
        <v>64.11</v>
      </c>
      <c r="J43" s="12">
        <f t="shared" si="0"/>
        <v>0.64</v>
      </c>
    </row>
    <row r="44" spans="1:10">
      <c r="A44" s="11" t="s">
        <v>575</v>
      </c>
      <c r="B44" s="65">
        <v>120000</v>
      </c>
      <c r="D44" s="35">
        <v>80477.66</v>
      </c>
      <c r="E44" s="1">
        <f>41622.71*1.1</f>
        <v>45784.981</v>
      </c>
      <c r="F44" s="1">
        <f t="shared" si="1"/>
        <v>126262.641</v>
      </c>
      <c r="G44" s="1">
        <v>128000</v>
      </c>
      <c r="H44" s="1">
        <v>121499.18</v>
      </c>
      <c r="I44" s="1">
        <v>124223.82</v>
      </c>
      <c r="J44" s="12">
        <f t="shared" si="0"/>
        <v>0.9375</v>
      </c>
    </row>
    <row r="45" spans="1:10">
      <c r="A45" s="11" t="s">
        <v>576</v>
      </c>
      <c r="B45" s="114">
        <v>12000</v>
      </c>
      <c r="D45" s="35">
        <v>6518.79</v>
      </c>
      <c r="E45" s="1">
        <f>3777.52*1.1</f>
        <v>4155.2719999999999</v>
      </c>
      <c r="F45" s="1">
        <f t="shared" si="1"/>
        <v>10674.062</v>
      </c>
      <c r="G45" s="1">
        <v>13600</v>
      </c>
      <c r="H45" s="1">
        <v>10309.73</v>
      </c>
      <c r="I45" s="1">
        <v>10626.39</v>
      </c>
      <c r="J45" s="12">
        <f t="shared" si="0"/>
        <v>0.88235294117647056</v>
      </c>
    </row>
    <row r="46" spans="1:10">
      <c r="A46" s="11" t="s">
        <v>577</v>
      </c>
      <c r="B46" s="116">
        <v>21000</v>
      </c>
      <c r="D46" s="35">
        <v>11994.42</v>
      </c>
      <c r="E46" s="1">
        <v>7035.67</v>
      </c>
      <c r="F46" s="1">
        <f t="shared" si="1"/>
        <v>19030.09</v>
      </c>
      <c r="G46" s="1">
        <v>21000</v>
      </c>
      <c r="H46" s="1">
        <v>19284.830000000002</v>
      </c>
      <c r="I46" s="1">
        <v>18342.02</v>
      </c>
      <c r="J46" s="12">
        <f t="shared" si="0"/>
        <v>1</v>
      </c>
    </row>
    <row r="47" spans="1:10">
      <c r="A47" s="11" t="s">
        <v>578</v>
      </c>
      <c r="B47" s="116">
        <v>0</v>
      </c>
      <c r="D47" s="35">
        <v>309.52</v>
      </c>
      <c r="E47" s="1">
        <v>365.38</v>
      </c>
      <c r="F47" s="1">
        <f t="shared" si="1"/>
        <v>674.9</v>
      </c>
      <c r="G47" s="1">
        <v>500</v>
      </c>
      <c r="H47" s="1">
        <v>610.99</v>
      </c>
      <c r="I47" s="1">
        <v>399.56</v>
      </c>
      <c r="J47" s="12">
        <f t="shared" si="0"/>
        <v>0</v>
      </c>
    </row>
    <row r="48" spans="1:10">
      <c r="A48" s="11" t="s">
        <v>579</v>
      </c>
      <c r="B48" s="115">
        <v>10000</v>
      </c>
      <c r="D48" s="35">
        <v>1762.8</v>
      </c>
      <c r="E48" s="1">
        <v>1425.78</v>
      </c>
      <c r="F48" s="1">
        <f t="shared" si="1"/>
        <v>3188.58</v>
      </c>
      <c r="G48" s="1">
        <v>4000</v>
      </c>
      <c r="H48" s="1">
        <v>3329.58</v>
      </c>
      <c r="I48" s="1">
        <v>4553.9799999999996</v>
      </c>
      <c r="J48" s="12">
        <f t="shared" si="0"/>
        <v>2.5</v>
      </c>
    </row>
    <row r="49" spans="1:11">
      <c r="A49" s="11" t="s">
        <v>580</v>
      </c>
      <c r="B49" s="114">
        <v>1200</v>
      </c>
      <c r="D49" s="35">
        <v>264.39999999999998</v>
      </c>
      <c r="E49" s="1">
        <v>416.94</v>
      </c>
      <c r="F49" s="1">
        <f t="shared" si="1"/>
        <v>681.33999999999992</v>
      </c>
      <c r="G49" s="1">
        <v>2200</v>
      </c>
      <c r="H49" s="1">
        <v>1816.65</v>
      </c>
      <c r="I49" s="1">
        <v>2197.9</v>
      </c>
      <c r="J49" s="12">
        <f t="shared" si="0"/>
        <v>0.54545454545454541</v>
      </c>
    </row>
    <row r="50" spans="1:11">
      <c r="B50" s="66" t="s">
        <v>21</v>
      </c>
      <c r="D50" s="13" t="s">
        <v>21</v>
      </c>
      <c r="E50" s="13"/>
      <c r="F50" s="13" t="s">
        <v>21</v>
      </c>
      <c r="G50" s="13" t="s">
        <v>21</v>
      </c>
      <c r="H50" s="13" t="s">
        <v>21</v>
      </c>
      <c r="I50" s="13" t="s">
        <v>21</v>
      </c>
      <c r="J50" s="13" t="s">
        <v>21</v>
      </c>
    </row>
    <row r="51" spans="1:11">
      <c r="A51" s="11" t="s">
        <v>22</v>
      </c>
      <c r="B51" s="65">
        <f>SUM(B11:B49)</f>
        <v>40380</v>
      </c>
      <c r="C51" s="11"/>
      <c r="D51" s="1">
        <f>SUM(D11:D49)</f>
        <v>-31187.219999999968</v>
      </c>
      <c r="E51" s="1">
        <f>SUM(E11:E49)</f>
        <v>44888.476000000126</v>
      </c>
      <c r="F51" s="1">
        <f>SUM(F11:F49)</f>
        <v>13701.256000000538</v>
      </c>
      <c r="G51" s="1">
        <v>48625</v>
      </c>
      <c r="H51" s="1">
        <v>29457.5099999999</v>
      </c>
      <c r="I51" s="1">
        <v>30478.680000000099</v>
      </c>
      <c r="J51" s="12">
        <f t="shared" si="0"/>
        <v>0.83043701799485858</v>
      </c>
      <c r="K51" s="11"/>
    </row>
    <row r="52" spans="1:11">
      <c r="B52" s="13" t="s">
        <v>21</v>
      </c>
      <c r="D52" s="13" t="s">
        <v>21</v>
      </c>
      <c r="E52" s="13"/>
      <c r="F52" s="13" t="s">
        <v>21</v>
      </c>
      <c r="G52" s="13" t="s">
        <v>21</v>
      </c>
      <c r="H52" s="13" t="s">
        <v>21</v>
      </c>
      <c r="I52" s="13" t="s">
        <v>21</v>
      </c>
      <c r="J52" s="13" t="s">
        <v>21</v>
      </c>
    </row>
    <row r="53" spans="1:11">
      <c r="B53" s="62"/>
    </row>
    <row r="54" spans="1:11">
      <c r="E54" s="1">
        <f>29457.51-2805.03</f>
        <v>26652.48</v>
      </c>
    </row>
    <row r="56" spans="1:11">
      <c r="A56" s="62" t="s">
        <v>885</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35.xml><?xml version="1.0" encoding="utf-8"?>
<worksheet xmlns="http://schemas.openxmlformats.org/spreadsheetml/2006/main" xmlns:r="http://schemas.openxmlformats.org/officeDocument/2006/relationships">
  <sheetPr>
    <pageSetUpPr fitToPage="1"/>
  </sheetPr>
  <dimension ref="A1:K28"/>
  <sheetViews>
    <sheetView workbookViewId="0">
      <pane ySplit="8" topLeftCell="A9" activePane="bottomLeft" state="frozenSplit"/>
      <selection pane="bottomLeft" activeCell="A38" sqref="A38"/>
    </sheetView>
  </sheetViews>
  <sheetFormatPr defaultColWidth="9.1640625" defaultRowHeight="12.75" outlineLevelCol="1"/>
  <cols>
    <col min="1" max="1" width="47.1640625" customWidth="1"/>
    <col min="2" max="2" width="14.5" customWidth="1"/>
    <col min="3" max="3" width="4"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975</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581</v>
      </c>
      <c r="B11" s="65">
        <v>300</v>
      </c>
      <c r="E11" s="1">
        <v>0</v>
      </c>
      <c r="F11" s="1">
        <f>D11+E11</f>
        <v>0</v>
      </c>
      <c r="G11" s="1">
        <v>300</v>
      </c>
      <c r="H11" s="1">
        <v>175.65</v>
      </c>
      <c r="I11" s="1">
        <v>79.66</v>
      </c>
      <c r="J11" s="12">
        <f t="shared" ref="J11:J26" si="0">B11/G11</f>
        <v>1</v>
      </c>
    </row>
    <row r="12" spans="1:11">
      <c r="A12" s="11" t="s">
        <v>582</v>
      </c>
      <c r="B12" s="65">
        <v>1350</v>
      </c>
      <c r="D12" s="35">
        <v>885.94</v>
      </c>
      <c r="E12" s="1">
        <v>443.47</v>
      </c>
      <c r="F12" s="1">
        <f t="shared" ref="F12:F24" si="1">D12+E12</f>
        <v>1329.41</v>
      </c>
      <c r="G12" s="1">
        <v>1600</v>
      </c>
      <c r="H12" s="1">
        <v>1335</v>
      </c>
      <c r="I12" s="1">
        <v>1422.3</v>
      </c>
      <c r="J12" s="12">
        <f t="shared" si="0"/>
        <v>0.84375</v>
      </c>
    </row>
    <row r="13" spans="1:11">
      <c r="A13" s="11" t="s">
        <v>583</v>
      </c>
      <c r="B13" s="65">
        <v>50</v>
      </c>
      <c r="D13" s="35">
        <v>58.03</v>
      </c>
      <c r="E13" s="1">
        <v>0</v>
      </c>
      <c r="F13" s="1">
        <f t="shared" si="1"/>
        <v>58.03</v>
      </c>
      <c r="G13" s="1">
        <v>50</v>
      </c>
      <c r="H13" s="1">
        <v>5.18</v>
      </c>
      <c r="I13" s="1">
        <v>13.42</v>
      </c>
      <c r="J13" s="12">
        <f t="shared" si="0"/>
        <v>1</v>
      </c>
    </row>
    <row r="14" spans="1:11">
      <c r="A14" s="11" t="s">
        <v>584</v>
      </c>
      <c r="B14" s="65">
        <v>1000</v>
      </c>
      <c r="D14" s="35">
        <v>1695</v>
      </c>
      <c r="E14" s="1">
        <v>1921</v>
      </c>
      <c r="F14" s="1">
        <f t="shared" si="1"/>
        <v>3616</v>
      </c>
      <c r="G14" s="1">
        <v>3050</v>
      </c>
      <c r="H14" s="1">
        <v>1921</v>
      </c>
      <c r="I14" s="1">
        <v>120.96</v>
      </c>
      <c r="J14" s="12">
        <f t="shared" si="0"/>
        <v>0.32786885245901637</v>
      </c>
    </row>
    <row r="15" spans="1:11">
      <c r="A15" s="11" t="s">
        <v>585</v>
      </c>
      <c r="B15" s="65">
        <v>250</v>
      </c>
      <c r="D15" s="35"/>
      <c r="E15" s="1">
        <v>0</v>
      </c>
      <c r="F15" s="1">
        <f t="shared" si="1"/>
        <v>0</v>
      </c>
      <c r="G15" s="1">
        <v>250</v>
      </c>
      <c r="J15" s="12">
        <f t="shared" si="0"/>
        <v>1</v>
      </c>
    </row>
    <row r="16" spans="1:11">
      <c r="A16" s="11" t="s">
        <v>586</v>
      </c>
      <c r="B16" s="65">
        <v>500</v>
      </c>
      <c r="D16" s="35">
        <v>509.5</v>
      </c>
      <c r="E16" s="1">
        <v>50</v>
      </c>
      <c r="F16" s="1">
        <f t="shared" si="1"/>
        <v>559.5</v>
      </c>
      <c r="G16" s="1">
        <v>600</v>
      </c>
      <c r="H16" s="1">
        <v>404.75</v>
      </c>
      <c r="I16" s="1">
        <v>679</v>
      </c>
      <c r="J16" s="12">
        <f t="shared" si="0"/>
        <v>0.83333333333333337</v>
      </c>
    </row>
    <row r="17" spans="1:11">
      <c r="A17" s="11" t="s">
        <v>587</v>
      </c>
      <c r="B17" s="65">
        <v>2000</v>
      </c>
      <c r="D17" s="35">
        <v>1304.3800000000001</v>
      </c>
      <c r="E17" s="1">
        <v>826.49</v>
      </c>
      <c r="F17" s="1">
        <f t="shared" si="1"/>
        <v>2130.87</v>
      </c>
      <c r="G17" s="1">
        <v>2500</v>
      </c>
      <c r="H17" s="1">
        <v>1371.52</v>
      </c>
      <c r="I17" s="1">
        <v>200</v>
      </c>
      <c r="J17" s="12">
        <f t="shared" si="0"/>
        <v>0.8</v>
      </c>
    </row>
    <row r="18" spans="1:11">
      <c r="A18" s="11" t="s">
        <v>588</v>
      </c>
      <c r="B18" s="65">
        <v>52000</v>
      </c>
      <c r="D18" s="35"/>
      <c r="E18" s="1">
        <v>49789</v>
      </c>
      <c r="F18" s="1">
        <f t="shared" si="1"/>
        <v>49789</v>
      </c>
      <c r="G18" s="1">
        <v>52000</v>
      </c>
      <c r="H18" s="1">
        <v>49789</v>
      </c>
      <c r="I18" s="1">
        <v>46089</v>
      </c>
      <c r="J18" s="12">
        <f t="shared" si="0"/>
        <v>1</v>
      </c>
    </row>
    <row r="19" spans="1:11">
      <c r="A19" s="11" t="s">
        <v>589</v>
      </c>
      <c r="B19" s="65">
        <v>7200</v>
      </c>
      <c r="D19" s="35">
        <v>1218.74</v>
      </c>
      <c r="E19" s="1">
        <f>2534.21+1073.5</f>
        <v>3607.71</v>
      </c>
      <c r="F19" s="1">
        <f t="shared" si="1"/>
        <v>4826.45</v>
      </c>
      <c r="G19" s="1">
        <v>7200</v>
      </c>
      <c r="H19" s="1">
        <f>4406.73+2175.25</f>
        <v>6581.98</v>
      </c>
      <c r="I19" s="1">
        <f>2825+6083.29</f>
        <v>8908.2900000000009</v>
      </c>
      <c r="J19" s="12">
        <f t="shared" si="0"/>
        <v>1</v>
      </c>
    </row>
    <row r="20" spans="1:11">
      <c r="A20" s="11" t="s">
        <v>590</v>
      </c>
      <c r="B20" s="65">
        <v>0</v>
      </c>
      <c r="I20" s="1">
        <v>4342.67</v>
      </c>
      <c r="J20" s="12"/>
    </row>
    <row r="21" spans="1:11">
      <c r="A21" s="11" t="s">
        <v>591</v>
      </c>
      <c r="B21" s="65">
        <v>0</v>
      </c>
      <c r="I21" s="1">
        <v>456.64</v>
      </c>
      <c r="J21" s="12"/>
    </row>
    <row r="22" spans="1:11">
      <c r="A22" s="11" t="s">
        <v>592</v>
      </c>
      <c r="B22" s="65">
        <v>1000</v>
      </c>
      <c r="E22" s="1">
        <v>0</v>
      </c>
      <c r="F22" s="1">
        <f t="shared" si="1"/>
        <v>0</v>
      </c>
      <c r="G22" s="1">
        <v>1000</v>
      </c>
      <c r="J22" s="12">
        <f t="shared" si="0"/>
        <v>1</v>
      </c>
    </row>
    <row r="23" spans="1:11">
      <c r="A23" s="11" t="s">
        <v>593</v>
      </c>
      <c r="B23" s="65">
        <v>5000</v>
      </c>
      <c r="E23" s="1">
        <v>5000</v>
      </c>
      <c r="F23" s="1">
        <f t="shared" si="1"/>
        <v>5000</v>
      </c>
      <c r="G23" s="1">
        <v>5000</v>
      </c>
      <c r="H23" s="1">
        <v>5000</v>
      </c>
      <c r="I23" s="1">
        <v>5000</v>
      </c>
      <c r="J23" s="12">
        <f t="shared" si="0"/>
        <v>1</v>
      </c>
    </row>
    <row r="24" spans="1:11">
      <c r="A24" s="11" t="s">
        <v>594</v>
      </c>
      <c r="B24" s="115">
        <v>1390</v>
      </c>
      <c r="D24" s="35">
        <v>322.33999999999997</v>
      </c>
      <c r="E24" s="1">
        <v>592.34</v>
      </c>
      <c r="F24" s="1">
        <f t="shared" si="1"/>
        <v>914.68000000000006</v>
      </c>
      <c r="G24" s="1">
        <v>2500</v>
      </c>
      <c r="H24" s="1">
        <v>1193.6199999999999</v>
      </c>
      <c r="I24" s="1">
        <v>901.91</v>
      </c>
      <c r="J24" s="12">
        <f t="shared" si="0"/>
        <v>0.55600000000000005</v>
      </c>
    </row>
    <row r="25" spans="1:11">
      <c r="B25" s="66" t="s">
        <v>21</v>
      </c>
      <c r="D25" s="13" t="s">
        <v>21</v>
      </c>
      <c r="E25" s="13"/>
      <c r="F25" s="13" t="s">
        <v>21</v>
      </c>
      <c r="G25" s="13" t="s">
        <v>21</v>
      </c>
      <c r="H25" s="13" t="s">
        <v>21</v>
      </c>
      <c r="I25" s="13" t="s">
        <v>21</v>
      </c>
      <c r="J25" s="13" t="s">
        <v>21</v>
      </c>
    </row>
    <row r="26" spans="1:11">
      <c r="A26" s="11" t="s">
        <v>22</v>
      </c>
      <c r="B26" s="65">
        <f>SUM(B11:B24)</f>
        <v>72040</v>
      </c>
      <c r="C26" s="11"/>
      <c r="D26" s="1">
        <f t="shared" ref="D26:I26" si="2">SUM(D11:D24)</f>
        <v>5993.93</v>
      </c>
      <c r="E26" s="1">
        <f t="shared" si="2"/>
        <v>62230.009999999995</v>
      </c>
      <c r="F26" s="1">
        <f t="shared" si="2"/>
        <v>68223.939999999988</v>
      </c>
      <c r="G26" s="1">
        <f t="shared" si="2"/>
        <v>76050</v>
      </c>
      <c r="H26" s="1">
        <f t="shared" si="2"/>
        <v>67777.7</v>
      </c>
      <c r="I26" s="1">
        <f t="shared" si="2"/>
        <v>68213.850000000006</v>
      </c>
      <c r="J26" s="12">
        <f t="shared" si="0"/>
        <v>0.94727153188691648</v>
      </c>
      <c r="K26" s="11"/>
    </row>
    <row r="27" spans="1:11">
      <c r="B27" s="13" t="s">
        <v>21</v>
      </c>
      <c r="D27" s="13" t="s">
        <v>21</v>
      </c>
      <c r="E27" s="13"/>
      <c r="F27" s="13" t="s">
        <v>21</v>
      </c>
      <c r="G27" s="13" t="s">
        <v>21</v>
      </c>
      <c r="H27" s="13" t="s">
        <v>21</v>
      </c>
      <c r="I27" s="13" t="s">
        <v>21</v>
      </c>
      <c r="J27" s="13" t="s">
        <v>21</v>
      </c>
    </row>
    <row r="28" spans="1:11">
      <c r="B28" s="62"/>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36.xml><?xml version="1.0" encoding="utf-8"?>
<worksheet xmlns="http://schemas.openxmlformats.org/spreadsheetml/2006/main" xmlns:r="http://schemas.openxmlformats.org/officeDocument/2006/relationships">
  <sheetPr>
    <pageSetUpPr fitToPage="1"/>
  </sheetPr>
  <dimension ref="A1:K85"/>
  <sheetViews>
    <sheetView workbookViewId="0">
      <pane ySplit="8" topLeftCell="A59" activePane="bottomLeft" state="frozenSplit"/>
      <selection pane="bottomLeft" activeCell="A88" sqref="A88"/>
    </sheetView>
  </sheetViews>
  <sheetFormatPr defaultColWidth="9.1640625" defaultRowHeight="12.75" outlineLevelCol="1"/>
  <cols>
    <col min="1" max="1" width="58.6640625" customWidth="1"/>
    <col min="2" max="2" width="14.5" customWidth="1"/>
    <col min="3" max="3" width="2.83203125" customWidth="1"/>
    <col min="4" max="5" width="14.5" style="1" hidden="1" customWidth="1" outlineLevel="1"/>
    <col min="6" max="6" width="14.5" style="1" customWidth="1" collapsed="1"/>
    <col min="7" max="9" width="14.5" style="1" customWidth="1"/>
    <col min="10" max="10" width="11.5" style="2" customWidth="1"/>
    <col min="11" max="11" width="76.83203125" customWidth="1"/>
  </cols>
  <sheetData>
    <row r="1" spans="1:11" ht="15">
      <c r="A1" s="125" t="s">
        <v>0</v>
      </c>
      <c r="B1" s="125"/>
      <c r="C1" s="125"/>
      <c r="D1" s="125"/>
      <c r="E1" s="125"/>
      <c r="F1" s="125"/>
      <c r="G1" s="125"/>
      <c r="H1" s="125"/>
      <c r="I1" s="125"/>
      <c r="J1" s="125"/>
      <c r="K1" s="4"/>
    </row>
    <row r="2" spans="1:11">
      <c r="A2" s="126" t="s">
        <v>976</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c r="B10" s="60"/>
    </row>
    <row r="11" spans="1:11">
      <c r="A11" s="11" t="s">
        <v>595</v>
      </c>
      <c r="B11" s="65">
        <v>-1400</v>
      </c>
      <c r="D11" s="35">
        <v>-1000</v>
      </c>
      <c r="E11" s="1">
        <v>-5850</v>
      </c>
      <c r="F11" s="1">
        <f>D11+E11</f>
        <v>-6850</v>
      </c>
      <c r="G11" s="1">
        <v>-1400</v>
      </c>
      <c r="H11" s="1">
        <v>-2980</v>
      </c>
      <c r="I11" s="1">
        <v>-26368.22</v>
      </c>
      <c r="J11" s="12">
        <f t="shared" ref="J11:J72" si="0">B11/G11</f>
        <v>1</v>
      </c>
    </row>
    <row r="12" spans="1:11">
      <c r="A12" s="11" t="s">
        <v>596</v>
      </c>
      <c r="B12" s="65">
        <v>-18500</v>
      </c>
      <c r="D12" s="35">
        <v>-26460.06</v>
      </c>
      <c r="E12" s="1">
        <v>-4700</v>
      </c>
      <c r="F12" s="1">
        <f t="shared" ref="F12:F67" si="1">D12+E12</f>
        <v>-31160.06</v>
      </c>
      <c r="G12" s="1">
        <v>-18500</v>
      </c>
      <c r="H12" s="1">
        <v>-27835.27</v>
      </c>
      <c r="I12" s="1">
        <v>-24193.5</v>
      </c>
      <c r="J12" s="12">
        <f t="shared" si="0"/>
        <v>1</v>
      </c>
    </row>
    <row r="13" spans="1:11">
      <c r="A13" s="11" t="s">
        <v>597</v>
      </c>
      <c r="B13" s="65">
        <v>-13500</v>
      </c>
      <c r="D13" s="35">
        <v>-13736.6</v>
      </c>
      <c r="E13" s="1">
        <v>0</v>
      </c>
      <c r="F13" s="38">
        <f t="shared" si="1"/>
        <v>-13736.6</v>
      </c>
      <c r="G13" s="1">
        <v>-13500</v>
      </c>
      <c r="H13" s="1">
        <v>-14487.17</v>
      </c>
      <c r="I13" s="1">
        <v>-19234</v>
      </c>
      <c r="J13" s="12">
        <f t="shared" si="0"/>
        <v>1</v>
      </c>
    </row>
    <row r="14" spans="1:11">
      <c r="A14" s="11" t="s">
        <v>598</v>
      </c>
      <c r="B14" s="77">
        <v>-180000</v>
      </c>
      <c r="D14" s="35">
        <v>-138816.62</v>
      </c>
      <c r="E14" s="1">
        <v>-26000</v>
      </c>
      <c r="F14" s="1">
        <f t="shared" si="1"/>
        <v>-164816.62</v>
      </c>
      <c r="G14" s="1">
        <v>-143000</v>
      </c>
      <c r="H14" s="1">
        <v>-153697</v>
      </c>
      <c r="I14" s="1">
        <v>-146925.65</v>
      </c>
      <c r="J14" s="12">
        <f t="shared" si="0"/>
        <v>1.2587412587412588</v>
      </c>
      <c r="K14" t="s">
        <v>888</v>
      </c>
    </row>
    <row r="15" spans="1:11">
      <c r="A15" s="11" t="s">
        <v>599</v>
      </c>
      <c r="B15" s="121">
        <v>-40000</v>
      </c>
      <c r="D15" s="35">
        <v>-45811.47</v>
      </c>
      <c r="E15" s="1">
        <v>0</v>
      </c>
      <c r="F15" s="1">
        <f t="shared" si="1"/>
        <v>-45811.47</v>
      </c>
      <c r="G15" s="1">
        <v>-19000</v>
      </c>
      <c r="H15" s="1">
        <v>-19414</v>
      </c>
      <c r="I15" s="1">
        <v>-25080.32</v>
      </c>
      <c r="J15" s="12">
        <f t="shared" si="0"/>
        <v>2.1052631578947367</v>
      </c>
      <c r="K15" t="s">
        <v>889</v>
      </c>
    </row>
    <row r="16" spans="1:11">
      <c r="A16" s="11" t="s">
        <v>600</v>
      </c>
      <c r="B16" s="121">
        <v>-19500</v>
      </c>
      <c r="D16" s="35">
        <v>-19500</v>
      </c>
      <c r="E16" s="1">
        <v>0</v>
      </c>
      <c r="F16" s="1">
        <f t="shared" si="1"/>
        <v>-19500</v>
      </c>
      <c r="G16" s="1">
        <v>-18500</v>
      </c>
      <c r="H16" s="1">
        <v>-20315.98</v>
      </c>
      <c r="I16" s="1">
        <v>-18500</v>
      </c>
      <c r="J16" s="12">
        <f t="shared" si="0"/>
        <v>1.0540540540540539</v>
      </c>
    </row>
    <row r="17" spans="1:11">
      <c r="A17" s="11" t="s">
        <v>601</v>
      </c>
      <c r="B17" s="121">
        <v>0</v>
      </c>
      <c r="D17" s="35">
        <v>-26341.200000000001</v>
      </c>
      <c r="E17" s="1">
        <v>0</v>
      </c>
      <c r="F17" s="38">
        <f t="shared" si="1"/>
        <v>-26341.200000000001</v>
      </c>
      <c r="J17" s="12"/>
    </row>
    <row r="18" spans="1:11">
      <c r="A18" s="11" t="s">
        <v>602</v>
      </c>
      <c r="B18" s="121">
        <v>0</v>
      </c>
      <c r="D18" s="35">
        <v>-4662.7</v>
      </c>
      <c r="E18" s="1">
        <v>-1538</v>
      </c>
      <c r="F18" s="1">
        <f t="shared" si="1"/>
        <v>-6200.7</v>
      </c>
      <c r="G18" s="1">
        <v>-4000</v>
      </c>
      <c r="H18" s="1">
        <v>-1538</v>
      </c>
      <c r="I18" s="1">
        <v>-239.35</v>
      </c>
      <c r="J18" s="12">
        <f t="shared" si="0"/>
        <v>0</v>
      </c>
      <c r="K18" t="s">
        <v>890</v>
      </c>
    </row>
    <row r="19" spans="1:11">
      <c r="A19" s="11" t="s">
        <v>603</v>
      </c>
      <c r="B19" s="121">
        <v>-11900</v>
      </c>
      <c r="E19" s="1">
        <v>-39318.800000000003</v>
      </c>
      <c r="F19" s="1">
        <f t="shared" si="1"/>
        <v>-39318.800000000003</v>
      </c>
      <c r="G19" s="1">
        <v>-4000</v>
      </c>
      <c r="H19" s="1">
        <v>-66838.3</v>
      </c>
      <c r="I19" s="1">
        <v>-4391.2</v>
      </c>
      <c r="J19" s="12">
        <f t="shared" si="0"/>
        <v>2.9750000000000001</v>
      </c>
    </row>
    <row r="20" spans="1:11">
      <c r="A20" s="11" t="s">
        <v>604</v>
      </c>
      <c r="B20" s="121">
        <v>-22000</v>
      </c>
      <c r="D20" s="35">
        <v>-7168.65</v>
      </c>
      <c r="E20" s="1">
        <v>-22575.200000000001</v>
      </c>
      <c r="F20" s="1">
        <f t="shared" si="1"/>
        <v>-29743.85</v>
      </c>
      <c r="G20" s="1">
        <v>-24000</v>
      </c>
      <c r="H20" s="1">
        <v>-22575.200000000001</v>
      </c>
      <c r="I20" s="1">
        <v>-20538.650000000001</v>
      </c>
      <c r="J20" s="12">
        <f t="shared" si="0"/>
        <v>0.91666666666666663</v>
      </c>
    </row>
    <row r="21" spans="1:11">
      <c r="A21" s="11" t="s">
        <v>605</v>
      </c>
      <c r="B21" s="121">
        <v>-120000</v>
      </c>
      <c r="D21" s="35">
        <v>-103064.52</v>
      </c>
      <c r="E21" s="1">
        <v>-83916.85</v>
      </c>
      <c r="F21" s="1">
        <f t="shared" si="1"/>
        <v>-186981.37</v>
      </c>
      <c r="G21" s="1">
        <v>-96000</v>
      </c>
      <c r="H21" s="1">
        <v>-138229.69</v>
      </c>
      <c r="I21" s="1">
        <v>-101793.46</v>
      </c>
      <c r="J21" s="12">
        <f t="shared" si="0"/>
        <v>1.25</v>
      </c>
      <c r="K21" s="84" t="s">
        <v>891</v>
      </c>
    </row>
    <row r="22" spans="1:11">
      <c r="A22" s="11" t="s">
        <v>606</v>
      </c>
      <c r="B22" s="121">
        <v>-6000</v>
      </c>
      <c r="D22" s="35">
        <v>-2307.0700000000002</v>
      </c>
      <c r="E22" s="1">
        <v>-2833.79</v>
      </c>
      <c r="F22" s="1">
        <f t="shared" si="1"/>
        <v>-5140.8600000000006</v>
      </c>
      <c r="G22" s="1">
        <v>-6000</v>
      </c>
      <c r="H22" s="1">
        <v>-7752.71</v>
      </c>
      <c r="I22" s="1">
        <v>-7269.77</v>
      </c>
      <c r="J22" s="12">
        <f t="shared" si="0"/>
        <v>1</v>
      </c>
      <c r="K22" s="85" t="s">
        <v>892</v>
      </c>
    </row>
    <row r="23" spans="1:11">
      <c r="A23" s="11" t="s">
        <v>607</v>
      </c>
      <c r="B23" s="121">
        <v>-22000</v>
      </c>
      <c r="D23" s="35">
        <v>-7547.6</v>
      </c>
      <c r="E23" s="1">
        <v>-18859.919999999998</v>
      </c>
      <c r="F23" s="1">
        <f t="shared" si="1"/>
        <v>-26407.519999999997</v>
      </c>
      <c r="G23" s="1">
        <v>-22000</v>
      </c>
      <c r="H23" s="1">
        <v>-22920.85</v>
      </c>
      <c r="I23" s="1">
        <v>-21849.37</v>
      </c>
      <c r="J23" s="12">
        <f t="shared" si="0"/>
        <v>1</v>
      </c>
      <c r="K23" s="84"/>
    </row>
    <row r="24" spans="1:11">
      <c r="A24" s="11" t="s">
        <v>608</v>
      </c>
      <c r="B24" s="121">
        <v>-60000</v>
      </c>
      <c r="D24" s="35">
        <v>-1590</v>
      </c>
      <c r="E24" s="1">
        <v>-57939</v>
      </c>
      <c r="F24" s="1">
        <f t="shared" si="1"/>
        <v>-59529</v>
      </c>
      <c r="G24" s="1">
        <v>-60000</v>
      </c>
      <c r="H24" s="1">
        <v>-64149</v>
      </c>
      <c r="I24" s="1">
        <v>-41498.39</v>
      </c>
      <c r="J24" s="12">
        <f t="shared" si="0"/>
        <v>1</v>
      </c>
    </row>
    <row r="25" spans="1:11">
      <c r="A25" s="11" t="s">
        <v>609</v>
      </c>
      <c r="B25" s="121">
        <v>1000</v>
      </c>
      <c r="D25" s="35">
        <v>5799.48</v>
      </c>
      <c r="E25" s="1">
        <v>1020.3</v>
      </c>
      <c r="F25" s="1">
        <f t="shared" si="1"/>
        <v>6819.78</v>
      </c>
      <c r="G25" s="1">
        <v>1000</v>
      </c>
      <c r="H25" s="1">
        <v>2915.3</v>
      </c>
      <c r="I25" s="1">
        <v>17013.46</v>
      </c>
      <c r="J25" s="12">
        <f t="shared" si="0"/>
        <v>1</v>
      </c>
    </row>
    <row r="26" spans="1:11">
      <c r="A26" s="11" t="s">
        <v>610</v>
      </c>
      <c r="B26" s="121">
        <v>1750</v>
      </c>
      <c r="D26" s="35">
        <v>1778.14</v>
      </c>
      <c r="E26" s="1">
        <v>271.36</v>
      </c>
      <c r="F26" s="1">
        <f t="shared" si="1"/>
        <v>2049.5</v>
      </c>
      <c r="G26" s="1">
        <v>1500</v>
      </c>
      <c r="H26" s="1">
        <v>1633.4</v>
      </c>
      <c r="I26" s="1">
        <v>1177.6099999999999</v>
      </c>
      <c r="J26" s="12">
        <f t="shared" si="0"/>
        <v>1.1666666666666667</v>
      </c>
      <c r="K26" t="s">
        <v>893</v>
      </c>
    </row>
    <row r="27" spans="1:11">
      <c r="A27" s="11" t="s">
        <v>611</v>
      </c>
      <c r="B27" s="121">
        <v>0</v>
      </c>
      <c r="D27" s="35">
        <v>-700</v>
      </c>
      <c r="E27" s="1">
        <v>0</v>
      </c>
      <c r="F27" s="1">
        <f t="shared" si="1"/>
        <v>-700</v>
      </c>
      <c r="H27" s="1">
        <v>70</v>
      </c>
      <c r="I27" s="1">
        <v>700</v>
      </c>
      <c r="J27" s="12"/>
    </row>
    <row r="28" spans="1:11">
      <c r="A28" s="11" t="s">
        <v>612</v>
      </c>
      <c r="B28" s="121">
        <v>3000</v>
      </c>
      <c r="D28" s="35">
        <v>2306.6</v>
      </c>
      <c r="E28" s="1">
        <v>1092.57</v>
      </c>
      <c r="F28" s="1">
        <f t="shared" si="1"/>
        <v>3399.17</v>
      </c>
      <c r="G28" s="1">
        <v>3000</v>
      </c>
      <c r="H28" s="1">
        <v>2660.1</v>
      </c>
      <c r="I28" s="1">
        <v>2307.96</v>
      </c>
      <c r="J28" s="12">
        <f t="shared" si="0"/>
        <v>1</v>
      </c>
    </row>
    <row r="29" spans="1:11">
      <c r="A29" s="11" t="s">
        <v>613</v>
      </c>
      <c r="B29" s="121">
        <v>100</v>
      </c>
      <c r="D29" s="35">
        <v>1.32</v>
      </c>
      <c r="E29" s="1">
        <v>0</v>
      </c>
      <c r="F29" s="1">
        <f t="shared" si="1"/>
        <v>1.32</v>
      </c>
      <c r="G29" s="1">
        <v>100</v>
      </c>
      <c r="H29" s="1">
        <v>1.1299999999999999</v>
      </c>
      <c r="I29" s="1">
        <v>6.54</v>
      </c>
      <c r="J29" s="12">
        <f t="shared" si="0"/>
        <v>1</v>
      </c>
    </row>
    <row r="30" spans="1:11">
      <c r="A30" s="11" t="s">
        <v>614</v>
      </c>
      <c r="B30" s="121">
        <v>12000</v>
      </c>
      <c r="D30" s="35">
        <v>9246.34</v>
      </c>
      <c r="E30" s="1">
        <v>2775.63</v>
      </c>
      <c r="F30" s="1">
        <f t="shared" si="1"/>
        <v>12021.970000000001</v>
      </c>
      <c r="G30" s="1">
        <v>12000</v>
      </c>
      <c r="H30" s="1">
        <v>5172.04</v>
      </c>
      <c r="I30" s="1">
        <v>12400.72</v>
      </c>
      <c r="J30" s="12">
        <f t="shared" si="0"/>
        <v>1</v>
      </c>
    </row>
    <row r="31" spans="1:11">
      <c r="A31" s="11" t="s">
        <v>615</v>
      </c>
      <c r="B31" s="121">
        <v>52500</v>
      </c>
      <c r="D31" s="35">
        <v>51379.37</v>
      </c>
      <c r="E31" s="1">
        <v>21154.57</v>
      </c>
      <c r="F31" s="1">
        <f t="shared" si="1"/>
        <v>72533.94</v>
      </c>
      <c r="G31" s="1">
        <v>40000</v>
      </c>
      <c r="H31" s="1">
        <v>55513.34</v>
      </c>
      <c r="I31" s="1">
        <v>48574.35</v>
      </c>
      <c r="J31" s="12">
        <f t="shared" si="0"/>
        <v>1.3125</v>
      </c>
      <c r="K31" s="84" t="s">
        <v>894</v>
      </c>
    </row>
    <row r="32" spans="1:11">
      <c r="A32" s="11" t="s">
        <v>616</v>
      </c>
      <c r="B32" s="77">
        <v>300</v>
      </c>
      <c r="E32" s="1">
        <v>0</v>
      </c>
      <c r="F32" s="1">
        <f t="shared" si="1"/>
        <v>0</v>
      </c>
      <c r="G32" s="1">
        <v>100</v>
      </c>
      <c r="J32" s="12">
        <f t="shared" si="0"/>
        <v>3</v>
      </c>
    </row>
    <row r="33" spans="1:11">
      <c r="A33" s="11" t="s">
        <v>617</v>
      </c>
      <c r="B33" s="121">
        <v>600</v>
      </c>
      <c r="D33" s="35">
        <v>350</v>
      </c>
      <c r="E33" s="1">
        <v>0</v>
      </c>
      <c r="F33" s="1">
        <f t="shared" si="1"/>
        <v>350</v>
      </c>
      <c r="G33" s="1">
        <v>600</v>
      </c>
      <c r="I33" s="1">
        <v>113</v>
      </c>
      <c r="J33" s="12">
        <f t="shared" si="0"/>
        <v>1</v>
      </c>
    </row>
    <row r="34" spans="1:11">
      <c r="A34" s="11" t="s">
        <v>618</v>
      </c>
      <c r="B34" s="121">
        <v>6000</v>
      </c>
      <c r="D34" s="35">
        <v>1019.25</v>
      </c>
      <c r="E34" s="1">
        <v>2287.5</v>
      </c>
      <c r="F34" s="1">
        <f t="shared" si="1"/>
        <v>3306.75</v>
      </c>
      <c r="G34" s="1">
        <v>6000</v>
      </c>
      <c r="H34" s="1">
        <v>3244.7</v>
      </c>
      <c r="I34" s="1">
        <v>5435.16</v>
      </c>
      <c r="J34" s="12">
        <f t="shared" si="0"/>
        <v>1</v>
      </c>
    </row>
    <row r="35" spans="1:11">
      <c r="A35" s="11" t="s">
        <v>619</v>
      </c>
      <c r="B35" s="121">
        <v>42500</v>
      </c>
      <c r="D35" s="35">
        <v>41862.81</v>
      </c>
      <c r="E35" s="1">
        <v>30408.73</v>
      </c>
      <c r="F35" s="1">
        <f t="shared" si="1"/>
        <v>72271.539999999994</v>
      </c>
      <c r="G35" s="1">
        <v>42500</v>
      </c>
      <c r="H35" s="1">
        <v>49445.51</v>
      </c>
      <c r="I35" s="1">
        <v>61139.72</v>
      </c>
      <c r="J35" s="12">
        <f t="shared" si="0"/>
        <v>1</v>
      </c>
    </row>
    <row r="36" spans="1:11">
      <c r="A36" s="11" t="s">
        <v>620</v>
      </c>
      <c r="B36" s="121">
        <v>28000</v>
      </c>
      <c r="D36" s="35">
        <v>20691.02</v>
      </c>
      <c r="E36" s="1">
        <f>7114.27*1.5</f>
        <v>10671.405000000001</v>
      </c>
      <c r="F36" s="1">
        <f t="shared" si="1"/>
        <v>31362.425000000003</v>
      </c>
      <c r="G36" s="1">
        <v>28000</v>
      </c>
      <c r="H36" s="1">
        <v>73453.58</v>
      </c>
      <c r="I36" s="1">
        <v>17025.09</v>
      </c>
      <c r="J36" s="12">
        <f t="shared" si="0"/>
        <v>1</v>
      </c>
    </row>
    <row r="37" spans="1:11">
      <c r="A37" s="11" t="s">
        <v>621</v>
      </c>
      <c r="B37" s="121">
        <v>0</v>
      </c>
      <c r="D37" s="35">
        <v>250</v>
      </c>
      <c r="E37" s="1">
        <v>0</v>
      </c>
      <c r="F37" s="1">
        <f t="shared" si="1"/>
        <v>250</v>
      </c>
      <c r="J37" s="12"/>
    </row>
    <row r="38" spans="1:11">
      <c r="A38" s="11" t="s">
        <v>622</v>
      </c>
      <c r="B38" s="121">
        <v>13500</v>
      </c>
      <c r="D38" s="35">
        <v>11099.41</v>
      </c>
      <c r="E38" s="1">
        <f>13736.6-11099.41</f>
        <v>2637.1900000000005</v>
      </c>
      <c r="F38" s="38">
        <f t="shared" si="1"/>
        <v>13736.6</v>
      </c>
      <c r="G38" s="1">
        <v>13500</v>
      </c>
      <c r="H38" s="1">
        <v>14487.17</v>
      </c>
      <c r="I38" s="1">
        <v>19234</v>
      </c>
      <c r="J38" s="12">
        <f t="shared" si="0"/>
        <v>1</v>
      </c>
    </row>
    <row r="39" spans="1:11">
      <c r="A39" s="11" t="s">
        <v>623</v>
      </c>
      <c r="B39" s="121">
        <v>2000</v>
      </c>
      <c r="D39" s="35">
        <v>1067.56</v>
      </c>
      <c r="E39" s="1">
        <v>78.44</v>
      </c>
      <c r="F39" s="1">
        <f t="shared" si="1"/>
        <v>1146</v>
      </c>
      <c r="G39" s="1">
        <v>2000</v>
      </c>
      <c r="H39" s="1">
        <v>2158.4</v>
      </c>
      <c r="I39" s="1">
        <v>2755.77</v>
      </c>
      <c r="J39" s="12">
        <f t="shared" si="0"/>
        <v>1</v>
      </c>
    </row>
    <row r="40" spans="1:11">
      <c r="A40" s="11" t="s">
        <v>624</v>
      </c>
      <c r="B40" s="121">
        <v>1000</v>
      </c>
      <c r="D40" s="35">
        <v>1001.75</v>
      </c>
      <c r="E40" s="1">
        <f>198.7*2</f>
        <v>397.4</v>
      </c>
      <c r="F40" s="1">
        <f t="shared" si="1"/>
        <v>1399.15</v>
      </c>
      <c r="G40" s="1">
        <v>1000</v>
      </c>
      <c r="H40" s="1">
        <v>571.5</v>
      </c>
      <c r="I40" s="1">
        <v>880.7</v>
      </c>
      <c r="J40" s="12">
        <f t="shared" si="0"/>
        <v>1</v>
      </c>
    </row>
    <row r="41" spans="1:11">
      <c r="A41" s="11" t="s">
        <v>625</v>
      </c>
      <c r="B41" s="121">
        <v>6000</v>
      </c>
      <c r="D41" s="35">
        <v>6700</v>
      </c>
      <c r="E41" s="1">
        <v>4700</v>
      </c>
      <c r="F41" s="1">
        <f t="shared" si="1"/>
        <v>11400</v>
      </c>
      <c r="G41" s="1">
        <v>5260</v>
      </c>
      <c r="H41" s="1">
        <v>8373.27</v>
      </c>
      <c r="I41" s="1">
        <v>5857.78</v>
      </c>
      <c r="J41" s="12">
        <f t="shared" si="0"/>
        <v>1.1406844106463878</v>
      </c>
      <c r="K41" t="s">
        <v>895</v>
      </c>
    </row>
    <row r="42" spans="1:11">
      <c r="A42" s="11" t="s">
        <v>626</v>
      </c>
      <c r="B42" s="121">
        <v>45000</v>
      </c>
      <c r="D42" s="35">
        <v>33114.74</v>
      </c>
      <c r="E42" s="1">
        <v>0</v>
      </c>
      <c r="F42" s="1">
        <f t="shared" si="1"/>
        <v>33114.74</v>
      </c>
      <c r="G42" s="1">
        <v>41255</v>
      </c>
      <c r="H42" s="1">
        <v>38085</v>
      </c>
      <c r="I42" s="1">
        <v>48855.68</v>
      </c>
      <c r="J42" s="12">
        <f t="shared" si="0"/>
        <v>1.0907768755302387</v>
      </c>
      <c r="K42" t="s">
        <v>895</v>
      </c>
    </row>
    <row r="43" spans="1:11">
      <c r="A43" s="11" t="s">
        <v>627</v>
      </c>
      <c r="B43" s="77">
        <v>18400</v>
      </c>
      <c r="D43" s="35">
        <v>34690.339999999997</v>
      </c>
      <c r="E43" s="1">
        <v>0</v>
      </c>
      <c r="F43" s="1">
        <f t="shared" si="1"/>
        <v>34690.339999999997</v>
      </c>
      <c r="G43" s="1">
        <v>14657</v>
      </c>
      <c r="H43" s="1">
        <v>16921.580000000002</v>
      </c>
      <c r="I43" s="1">
        <v>15914.26</v>
      </c>
      <c r="J43" s="12">
        <f t="shared" si="0"/>
        <v>1.2553728593845943</v>
      </c>
      <c r="K43" t="s">
        <v>895</v>
      </c>
    </row>
    <row r="44" spans="1:11">
      <c r="A44" s="11" t="s">
        <v>628</v>
      </c>
      <c r="B44" s="65">
        <v>4000</v>
      </c>
      <c r="D44" s="35">
        <v>3676.96</v>
      </c>
      <c r="E44" s="1">
        <v>0</v>
      </c>
      <c r="F44" s="1">
        <f t="shared" si="1"/>
        <v>3676.96</v>
      </c>
      <c r="G44" s="1">
        <v>3955</v>
      </c>
      <c r="H44" s="1">
        <v>400</v>
      </c>
      <c r="I44" s="1">
        <v>3555.9</v>
      </c>
      <c r="J44" s="12">
        <f t="shared" si="0"/>
        <v>1.0113780025284449</v>
      </c>
      <c r="K44" t="s">
        <v>895</v>
      </c>
    </row>
    <row r="45" spans="1:11">
      <c r="A45" s="11" t="s">
        <v>629</v>
      </c>
      <c r="B45" s="65">
        <v>3500</v>
      </c>
      <c r="D45" s="35">
        <v>1788</v>
      </c>
      <c r="E45" s="1">
        <v>0</v>
      </c>
      <c r="F45" s="1">
        <f t="shared" si="1"/>
        <v>1788</v>
      </c>
      <c r="G45" s="1">
        <v>3500</v>
      </c>
      <c r="H45" s="1">
        <v>3500</v>
      </c>
      <c r="I45" s="1">
        <v>3000</v>
      </c>
      <c r="J45" s="12">
        <f t="shared" si="0"/>
        <v>1</v>
      </c>
      <c r="K45" t="s">
        <v>895</v>
      </c>
    </row>
    <row r="46" spans="1:11">
      <c r="A46" s="11" t="s">
        <v>630</v>
      </c>
      <c r="B46" s="65">
        <v>5500</v>
      </c>
      <c r="D46" s="35">
        <v>7499.25</v>
      </c>
      <c r="E46" s="1">
        <v>0</v>
      </c>
      <c r="F46" s="1">
        <f t="shared" si="1"/>
        <v>7499.25</v>
      </c>
      <c r="G46" s="1">
        <v>5480</v>
      </c>
      <c r="H46" s="1">
        <v>5350</v>
      </c>
      <c r="I46" s="1">
        <v>4950</v>
      </c>
      <c r="J46" s="12">
        <f t="shared" si="0"/>
        <v>1.0036496350364963</v>
      </c>
      <c r="K46" t="s">
        <v>895</v>
      </c>
    </row>
    <row r="47" spans="1:11">
      <c r="A47" s="11" t="s">
        <v>631</v>
      </c>
      <c r="B47" s="65">
        <v>20000</v>
      </c>
      <c r="D47" s="35">
        <v>17383.919999999998</v>
      </c>
      <c r="E47" s="1">
        <v>6105.65</v>
      </c>
      <c r="F47" s="1">
        <f t="shared" si="1"/>
        <v>23489.57</v>
      </c>
      <c r="G47" s="1">
        <v>16300</v>
      </c>
      <c r="H47" s="1">
        <v>10415.65</v>
      </c>
      <c r="I47" s="1">
        <v>779.44</v>
      </c>
      <c r="J47" s="12">
        <f t="shared" si="0"/>
        <v>1.2269938650306749</v>
      </c>
      <c r="K47" t="s">
        <v>895</v>
      </c>
    </row>
    <row r="48" spans="1:11">
      <c r="A48" s="11" t="s">
        <v>632</v>
      </c>
      <c r="B48" s="65">
        <v>13000</v>
      </c>
      <c r="D48" s="35">
        <v>11314.33</v>
      </c>
      <c r="E48" s="1">
        <v>3447</v>
      </c>
      <c r="F48" s="1">
        <f t="shared" si="1"/>
        <v>14761.33</v>
      </c>
      <c r="G48" s="1">
        <v>12430</v>
      </c>
      <c r="H48" s="1">
        <v>12317.44</v>
      </c>
      <c r="I48" s="1">
        <v>9996.43</v>
      </c>
      <c r="J48" s="12">
        <f t="shared" si="0"/>
        <v>1.0458567980691875</v>
      </c>
      <c r="K48" t="s">
        <v>895</v>
      </c>
    </row>
    <row r="49" spans="1:11">
      <c r="A49" s="11" t="s">
        <v>633</v>
      </c>
      <c r="B49" s="65">
        <v>45000</v>
      </c>
      <c r="D49" s="35">
        <v>25520</v>
      </c>
      <c r="E49" s="1">
        <v>0</v>
      </c>
      <c r="F49" s="1">
        <f t="shared" si="1"/>
        <v>25520</v>
      </c>
      <c r="G49" s="1">
        <v>41255</v>
      </c>
      <c r="H49" s="1">
        <v>36190</v>
      </c>
      <c r="I49" s="1">
        <v>39295</v>
      </c>
      <c r="J49" s="12">
        <f t="shared" si="0"/>
        <v>1.0907768755302387</v>
      </c>
      <c r="K49" t="s">
        <v>895</v>
      </c>
    </row>
    <row r="50" spans="1:11">
      <c r="A50" s="11" t="s">
        <v>634</v>
      </c>
      <c r="B50" s="65">
        <v>50000</v>
      </c>
      <c r="D50" s="35">
        <v>39507.339999999997</v>
      </c>
      <c r="E50" s="1">
        <v>0</v>
      </c>
      <c r="F50" s="1">
        <f t="shared" si="1"/>
        <v>39507.339999999997</v>
      </c>
      <c r="G50" s="1">
        <v>30000</v>
      </c>
      <c r="H50" s="1">
        <v>32575</v>
      </c>
      <c r="I50" s="1">
        <v>36370.04</v>
      </c>
      <c r="J50" s="12">
        <f t="shared" si="0"/>
        <v>1.6666666666666667</v>
      </c>
      <c r="K50" t="s">
        <v>896</v>
      </c>
    </row>
    <row r="51" spans="1:11">
      <c r="A51" s="81" t="s">
        <v>987</v>
      </c>
      <c r="B51" s="65">
        <v>40000</v>
      </c>
      <c r="D51" s="35"/>
      <c r="J51" s="12"/>
    </row>
    <row r="52" spans="1:11">
      <c r="A52" s="11" t="s">
        <v>635</v>
      </c>
      <c r="B52" s="65">
        <v>60000</v>
      </c>
      <c r="D52" s="35">
        <v>3934.8</v>
      </c>
      <c r="E52" s="1">
        <v>57745.83</v>
      </c>
      <c r="F52" s="1">
        <f t="shared" si="1"/>
        <v>61680.630000000005</v>
      </c>
      <c r="G52" s="1">
        <v>60000</v>
      </c>
      <c r="H52" s="1">
        <v>63811.43</v>
      </c>
      <c r="I52" s="1">
        <v>42257.8</v>
      </c>
      <c r="J52" s="12">
        <f t="shared" si="0"/>
        <v>1</v>
      </c>
    </row>
    <row r="53" spans="1:11">
      <c r="A53" s="11" t="s">
        <v>636</v>
      </c>
      <c r="B53" s="65">
        <v>8000</v>
      </c>
      <c r="D53" s="35">
        <v>9581.16</v>
      </c>
      <c r="E53" s="1">
        <f>509.96+1500</f>
        <v>2009.96</v>
      </c>
      <c r="F53" s="1">
        <f t="shared" si="1"/>
        <v>11591.119999999999</v>
      </c>
      <c r="G53" s="1">
        <v>8000</v>
      </c>
      <c r="H53" s="1">
        <v>8693.81</v>
      </c>
      <c r="I53" s="1">
        <v>12094.96</v>
      </c>
      <c r="J53" s="12">
        <f t="shared" si="0"/>
        <v>1</v>
      </c>
    </row>
    <row r="54" spans="1:11">
      <c r="A54" s="11" t="s">
        <v>637</v>
      </c>
      <c r="B54" s="65">
        <v>100</v>
      </c>
      <c r="D54" s="35">
        <v>229.16</v>
      </c>
      <c r="E54" s="1">
        <v>0</v>
      </c>
      <c r="F54" s="1">
        <f t="shared" si="1"/>
        <v>229.16</v>
      </c>
      <c r="G54" s="1">
        <v>100</v>
      </c>
      <c r="H54" s="1">
        <v>108.68</v>
      </c>
      <c r="I54" s="1">
        <v>96.78</v>
      </c>
      <c r="J54" s="12">
        <f t="shared" si="0"/>
        <v>1</v>
      </c>
    </row>
    <row r="55" spans="1:11">
      <c r="A55" s="11" t="s">
        <v>638</v>
      </c>
      <c r="B55" s="65">
        <v>1500</v>
      </c>
      <c r="D55" s="35">
        <v>2889.6</v>
      </c>
      <c r="E55" s="1">
        <v>1249.92</v>
      </c>
      <c r="F55" s="1">
        <f t="shared" si="1"/>
        <v>4139.5200000000004</v>
      </c>
      <c r="G55" s="1">
        <v>1500</v>
      </c>
      <c r="H55" s="1">
        <v>1249.92</v>
      </c>
      <c r="I55" s="1">
        <v>1634.72</v>
      </c>
      <c r="J55" s="12">
        <f t="shared" si="0"/>
        <v>1</v>
      </c>
    </row>
    <row r="56" spans="1:11">
      <c r="A56" s="11" t="s">
        <v>639</v>
      </c>
      <c r="B56" s="65">
        <v>0</v>
      </c>
      <c r="D56" s="35">
        <v>23163.55</v>
      </c>
      <c r="E56" s="1">
        <v>0</v>
      </c>
      <c r="F56" s="38">
        <f t="shared" si="1"/>
        <v>23163.55</v>
      </c>
      <c r="J56" s="12"/>
      <c r="K56" t="s">
        <v>897</v>
      </c>
    </row>
    <row r="57" spans="1:11">
      <c r="A57" s="11" t="s">
        <v>640</v>
      </c>
      <c r="B57" s="65">
        <v>15000</v>
      </c>
      <c r="D57" s="35">
        <v>9769.34</v>
      </c>
      <c r="E57" s="1">
        <v>6471.26</v>
      </c>
      <c r="F57" s="1">
        <f t="shared" si="1"/>
        <v>16240.6</v>
      </c>
      <c r="G57" s="1">
        <v>15000</v>
      </c>
      <c r="H57" s="1">
        <v>16021.99</v>
      </c>
      <c r="I57" s="1">
        <v>18674.63</v>
      </c>
      <c r="J57" s="12">
        <f t="shared" si="0"/>
        <v>1</v>
      </c>
    </row>
    <row r="58" spans="1:11">
      <c r="A58" s="11" t="s">
        <v>641</v>
      </c>
      <c r="B58" s="65">
        <v>0</v>
      </c>
      <c r="E58" s="1">
        <v>0</v>
      </c>
      <c r="F58" s="1">
        <f t="shared" si="1"/>
        <v>0</v>
      </c>
      <c r="H58" s="1">
        <v>250</v>
      </c>
      <c r="J58" s="12"/>
    </row>
    <row r="59" spans="1:11">
      <c r="A59" s="11" t="s">
        <v>642</v>
      </c>
      <c r="B59" s="65">
        <v>52500</v>
      </c>
      <c r="D59" s="35">
        <v>52588.61</v>
      </c>
      <c r="E59" s="1">
        <f>(74211.86*1.5)+1363.58</f>
        <v>112681.37000000001</v>
      </c>
      <c r="F59" s="1">
        <f t="shared" si="1"/>
        <v>165269.98000000001</v>
      </c>
      <c r="G59" s="1">
        <v>48000</v>
      </c>
      <c r="H59" s="1">
        <f>75296.74+1363.58</f>
        <v>76660.320000000007</v>
      </c>
      <c r="I59" s="1">
        <f>63788.34+82.88</f>
        <v>63871.219999999994</v>
      </c>
      <c r="J59" s="12">
        <f t="shared" si="0"/>
        <v>1.09375</v>
      </c>
      <c r="K59" s="84" t="s">
        <v>898</v>
      </c>
    </row>
    <row r="60" spans="1:11">
      <c r="A60" s="11" t="s">
        <v>643</v>
      </c>
      <c r="B60" s="65">
        <v>5000</v>
      </c>
      <c r="D60" s="35">
        <v>5353.56</v>
      </c>
      <c r="E60" s="1">
        <v>1112.8800000000001</v>
      </c>
      <c r="F60" s="1">
        <f t="shared" si="1"/>
        <v>6466.4400000000005</v>
      </c>
      <c r="G60" s="1">
        <v>5000</v>
      </c>
      <c r="H60" s="1">
        <v>1112.8800000000001</v>
      </c>
      <c r="I60" s="1">
        <v>3878.82</v>
      </c>
      <c r="J60" s="12">
        <f t="shared" si="0"/>
        <v>1</v>
      </c>
    </row>
    <row r="61" spans="1:11">
      <c r="A61" s="11" t="s">
        <v>644</v>
      </c>
      <c r="B61" s="65">
        <v>1000</v>
      </c>
      <c r="D61" s="35">
        <v>651.49</v>
      </c>
      <c r="E61" s="1">
        <v>400.68</v>
      </c>
      <c r="F61" s="1">
        <f t="shared" si="1"/>
        <v>1052.17</v>
      </c>
      <c r="G61" s="1">
        <v>1000</v>
      </c>
      <c r="H61" s="1">
        <v>1272.67</v>
      </c>
      <c r="I61" s="1">
        <v>1140.3</v>
      </c>
      <c r="J61" s="12">
        <f t="shared" si="0"/>
        <v>1</v>
      </c>
    </row>
    <row r="62" spans="1:11">
      <c r="A62" s="11" t="s">
        <v>645</v>
      </c>
      <c r="B62" s="65">
        <v>7000</v>
      </c>
      <c r="D62" s="35">
        <v>5512.29</v>
      </c>
      <c r="E62" s="1">
        <v>0</v>
      </c>
      <c r="F62" s="1">
        <f t="shared" si="1"/>
        <v>5512.29</v>
      </c>
      <c r="G62" s="1">
        <v>7000</v>
      </c>
      <c r="H62" s="1">
        <v>9704.65</v>
      </c>
      <c r="I62" s="1">
        <v>5007.8100000000004</v>
      </c>
      <c r="J62" s="12">
        <f t="shared" si="0"/>
        <v>1</v>
      </c>
      <c r="K62" t="s">
        <v>899</v>
      </c>
    </row>
    <row r="63" spans="1:11">
      <c r="A63" s="11" t="s">
        <v>646</v>
      </c>
      <c r="B63" s="65">
        <v>375000</v>
      </c>
      <c r="D63" s="35">
        <v>260953.32</v>
      </c>
      <c r="E63" s="1">
        <v>114756.51</v>
      </c>
      <c r="F63" s="1">
        <f t="shared" si="1"/>
        <v>375709.83</v>
      </c>
      <c r="G63" s="1">
        <v>370000</v>
      </c>
      <c r="H63" s="1">
        <v>345723.67</v>
      </c>
      <c r="I63" s="1">
        <v>304092.88</v>
      </c>
      <c r="J63" s="12">
        <f t="shared" si="0"/>
        <v>1.0135135135135136</v>
      </c>
    </row>
    <row r="64" spans="1:11">
      <c r="A64" s="11" t="s">
        <v>647</v>
      </c>
      <c r="B64" s="65">
        <v>42000</v>
      </c>
      <c r="D64" s="35">
        <v>28739.17</v>
      </c>
      <c r="E64" s="1">
        <v>13370.72</v>
      </c>
      <c r="F64" s="1">
        <f t="shared" si="1"/>
        <v>42109.89</v>
      </c>
      <c r="G64" s="1">
        <v>42000</v>
      </c>
      <c r="H64" s="1">
        <v>39019.93</v>
      </c>
      <c r="I64" s="1">
        <v>34360.629999999997</v>
      </c>
      <c r="J64" s="12">
        <f t="shared" si="0"/>
        <v>1</v>
      </c>
    </row>
    <row r="65" spans="1:11">
      <c r="A65" s="11" t="s">
        <v>648</v>
      </c>
      <c r="B65" s="65">
        <v>0</v>
      </c>
      <c r="D65" s="35">
        <v>40</v>
      </c>
      <c r="E65" s="1">
        <v>-58.36</v>
      </c>
      <c r="F65" s="1">
        <f t="shared" si="1"/>
        <v>-18.36</v>
      </c>
      <c r="H65" s="1">
        <v>-63.71</v>
      </c>
      <c r="I65" s="1">
        <v>0.72</v>
      </c>
      <c r="J65" s="12"/>
    </row>
    <row r="66" spans="1:11">
      <c r="A66" s="11" t="s">
        <v>649</v>
      </c>
      <c r="B66" s="115">
        <v>21400</v>
      </c>
      <c r="D66" s="35">
        <v>7775.02</v>
      </c>
      <c r="E66" s="1">
        <v>9157.81</v>
      </c>
      <c r="F66" s="1">
        <f t="shared" si="1"/>
        <v>16932.830000000002</v>
      </c>
      <c r="G66" s="1">
        <v>19440</v>
      </c>
      <c r="H66" s="1">
        <v>12626.39</v>
      </c>
      <c r="I66" s="1">
        <v>12293.11</v>
      </c>
      <c r="J66" s="12">
        <f t="shared" si="0"/>
        <v>1.1008230452674896</v>
      </c>
    </row>
    <row r="67" spans="1:11">
      <c r="A67" s="11" t="s">
        <v>650</v>
      </c>
      <c r="B67" s="65">
        <v>0</v>
      </c>
      <c r="D67" s="35">
        <v>6944.91</v>
      </c>
      <c r="E67" s="1">
        <v>11078.9</v>
      </c>
      <c r="F67" s="1">
        <f t="shared" si="1"/>
        <v>18023.809999999998</v>
      </c>
      <c r="H67" s="1">
        <v>21541.57</v>
      </c>
      <c r="I67" s="1">
        <v>17410.150000000001</v>
      </c>
      <c r="J67" s="12"/>
    </row>
    <row r="68" spans="1:11">
      <c r="A68" s="122"/>
      <c r="B68" s="56"/>
      <c r="D68" s="35"/>
      <c r="J68" s="12"/>
      <c r="K68" s="78" t="s">
        <v>900</v>
      </c>
    </row>
    <row r="69" spans="1:11">
      <c r="A69" s="122" t="s">
        <v>886</v>
      </c>
      <c r="B69" s="56">
        <v>5000</v>
      </c>
      <c r="D69" s="35"/>
      <c r="J69" s="12"/>
      <c r="K69" s="78" t="s">
        <v>901</v>
      </c>
    </row>
    <row r="70" spans="1:11">
      <c r="A70" s="122" t="s">
        <v>887</v>
      </c>
      <c r="B70" s="56">
        <v>1000</v>
      </c>
      <c r="D70" s="35"/>
      <c r="J70" s="12"/>
      <c r="K70" s="78" t="s">
        <v>901</v>
      </c>
    </row>
    <row r="71" spans="1:11">
      <c r="B71" s="66" t="s">
        <v>21</v>
      </c>
      <c r="D71" s="13" t="s">
        <v>21</v>
      </c>
      <c r="E71" s="13"/>
      <c r="F71" s="13" t="s">
        <v>21</v>
      </c>
      <c r="G71" s="13" t="s">
        <v>21</v>
      </c>
      <c r="H71" s="13" t="s">
        <v>21</v>
      </c>
      <c r="I71" s="13" t="s">
        <v>21</v>
      </c>
      <c r="J71" s="13" t="s">
        <v>21</v>
      </c>
    </row>
    <row r="72" spans="1:11">
      <c r="A72" s="11" t="s">
        <v>22</v>
      </c>
      <c r="B72" s="65">
        <f>SUM(B11:B70)</f>
        <v>494350</v>
      </c>
      <c r="C72" s="11"/>
      <c r="D72" s="1">
        <f>SUM(D11:D67)</f>
        <v>348467.41999999993</v>
      </c>
      <c r="E72" s="1">
        <f>SUM(E11:E67)</f>
        <v>153493.66500000001</v>
      </c>
      <c r="F72" s="1">
        <f>SUM(F11:F67)</f>
        <v>501961.08500000014</v>
      </c>
      <c r="G72" s="1">
        <v>472532</v>
      </c>
      <c r="H72" s="1">
        <f>SUM(H11:H67)</f>
        <v>410455.14000000007</v>
      </c>
      <c r="I72" s="1">
        <f>SUM(I11:I67)</f>
        <v>416271.25999999995</v>
      </c>
      <c r="J72" s="12">
        <f t="shared" si="0"/>
        <v>1.0461725343468802</v>
      </c>
      <c r="K72" s="11"/>
    </row>
    <row r="73" spans="1:11">
      <c r="B73" s="13" t="s">
        <v>21</v>
      </c>
      <c r="D73" s="13" t="s">
        <v>21</v>
      </c>
      <c r="E73" s="13"/>
      <c r="F73" s="13" t="s">
        <v>21</v>
      </c>
      <c r="G73" s="13" t="s">
        <v>21</v>
      </c>
      <c r="H73" s="13" t="s">
        <v>21</v>
      </c>
      <c r="I73" s="13" t="s">
        <v>21</v>
      </c>
      <c r="J73" s="13" t="s">
        <v>21</v>
      </c>
    </row>
    <row r="74" spans="1:11">
      <c r="B74" s="62"/>
    </row>
    <row r="75" spans="1:11">
      <c r="A75" s="86" t="s">
        <v>902</v>
      </c>
    </row>
    <row r="76" spans="1:11">
      <c r="A76" s="86" t="s">
        <v>903</v>
      </c>
    </row>
    <row r="77" spans="1:11">
      <c r="A77" s="86" t="s">
        <v>904</v>
      </c>
    </row>
    <row r="78" spans="1:11">
      <c r="A78" s="86" t="s">
        <v>905</v>
      </c>
    </row>
    <row r="79" spans="1:11">
      <c r="A79" s="86" t="s">
        <v>906</v>
      </c>
    </row>
    <row r="81" spans="1:2">
      <c r="A81" s="124" t="s">
        <v>988</v>
      </c>
      <c r="B81" s="56">
        <v>5000</v>
      </c>
    </row>
    <row r="82" spans="1:2">
      <c r="A82" s="124" t="s">
        <v>989</v>
      </c>
      <c r="B82" s="56">
        <v>1000</v>
      </c>
    </row>
    <row r="85" spans="1:2">
      <c r="B85">
        <v>494350</v>
      </c>
    </row>
  </sheetData>
  <mergeCells count="3">
    <mergeCell ref="A1:J1"/>
    <mergeCell ref="A2:J2"/>
    <mergeCell ref="A3:J3"/>
  </mergeCells>
  <phoneticPr fontId="0" type="noConversion"/>
  <pageMargins left="0.75" right="0.75" top="0.75" bottom="0.75" header="0.5" footer="0.5"/>
  <pageSetup orientation="portrait" r:id="rId1"/>
  <headerFooter alignWithMargins="0"/>
</worksheet>
</file>

<file path=xl/worksheets/sheet37.xml><?xml version="1.0" encoding="utf-8"?>
<worksheet xmlns="http://schemas.openxmlformats.org/spreadsheetml/2006/main" xmlns:r="http://schemas.openxmlformats.org/officeDocument/2006/relationships">
  <sheetPr>
    <pageSetUpPr fitToPage="1"/>
  </sheetPr>
  <dimension ref="A1:K43"/>
  <sheetViews>
    <sheetView workbookViewId="0">
      <pane ySplit="8" topLeftCell="A9" activePane="bottomLeft" state="frozenSplit"/>
      <selection pane="bottomLeft" activeCell="A8" sqref="A8"/>
    </sheetView>
  </sheetViews>
  <sheetFormatPr defaultColWidth="9.1640625" defaultRowHeight="12.75" outlineLevelCol="1"/>
  <cols>
    <col min="1" max="1" width="49.5" customWidth="1"/>
    <col min="2" max="2" width="14.5" customWidth="1"/>
    <col min="3" max="3" width="3.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977</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c r="B10" s="60"/>
    </row>
    <row r="11" spans="1:11">
      <c r="A11" s="11" t="s">
        <v>651</v>
      </c>
      <c r="B11" s="65">
        <v>-75000</v>
      </c>
      <c r="D11" s="35">
        <v>-42216.61</v>
      </c>
      <c r="E11" s="1">
        <v>-37870.800000000003</v>
      </c>
      <c r="F11" s="1">
        <f>D11+E11</f>
        <v>-80087.41</v>
      </c>
      <c r="G11" s="1">
        <v>-65000</v>
      </c>
      <c r="H11" s="1">
        <v>-81292.399999999994</v>
      </c>
      <c r="I11" s="1">
        <v>-92351.54</v>
      </c>
      <c r="J11" s="12">
        <f t="shared" ref="J11:J41" si="0">B11/G11</f>
        <v>1.1538461538461537</v>
      </c>
    </row>
    <row r="12" spans="1:11">
      <c r="A12" s="11" t="s">
        <v>652</v>
      </c>
      <c r="B12" s="65">
        <v>-15000</v>
      </c>
      <c r="D12" s="35">
        <v>-11068.68</v>
      </c>
      <c r="E12" s="1">
        <v>-5956.48</v>
      </c>
      <c r="F12" s="1">
        <f t="shared" ref="F12:F39" si="1">D12+E12</f>
        <v>-17025.16</v>
      </c>
      <c r="H12" s="1">
        <v>-5956.48</v>
      </c>
      <c r="I12" s="1">
        <v>-26275.94</v>
      </c>
      <c r="J12" s="12"/>
    </row>
    <row r="13" spans="1:11">
      <c r="A13" s="11" t="s">
        <v>728</v>
      </c>
      <c r="B13" s="65">
        <v>-50000</v>
      </c>
      <c r="D13" s="35">
        <v>-30756</v>
      </c>
      <c r="E13" s="1">
        <v>-30473.25</v>
      </c>
      <c r="F13" s="1">
        <f t="shared" si="1"/>
        <v>-61229.25</v>
      </c>
      <c r="G13" s="1">
        <v>-45000</v>
      </c>
      <c r="H13" s="1">
        <v>-61686.75</v>
      </c>
      <c r="I13" s="1">
        <v>-43227.25</v>
      </c>
      <c r="J13" s="12">
        <f t="shared" si="0"/>
        <v>1.1111111111111112</v>
      </c>
    </row>
    <row r="14" spans="1:11">
      <c r="A14" s="11" t="s">
        <v>653</v>
      </c>
      <c r="B14" s="65">
        <v>0</v>
      </c>
      <c r="D14" s="35">
        <v>-5029.12</v>
      </c>
      <c r="E14" s="1">
        <v>-1844.58</v>
      </c>
      <c r="F14" s="1">
        <f t="shared" si="1"/>
        <v>-6873.7</v>
      </c>
      <c r="H14" s="1">
        <v>-1844.58</v>
      </c>
      <c r="I14" s="1">
        <v>-1224.8</v>
      </c>
      <c r="J14" s="12"/>
    </row>
    <row r="15" spans="1:11">
      <c r="A15" s="11" t="s">
        <v>654</v>
      </c>
      <c r="B15" s="65">
        <v>1200</v>
      </c>
      <c r="D15" s="35">
        <v>1544.24</v>
      </c>
      <c r="E15" s="1">
        <v>474.54</v>
      </c>
      <c r="F15" s="1">
        <f t="shared" si="1"/>
        <v>2018.78</v>
      </c>
      <c r="G15" s="1">
        <v>1200</v>
      </c>
      <c r="H15" s="1">
        <v>1158.94</v>
      </c>
      <c r="I15" s="1">
        <v>1804.22</v>
      </c>
      <c r="J15" s="12">
        <f t="shared" si="0"/>
        <v>1</v>
      </c>
    </row>
    <row r="16" spans="1:11">
      <c r="A16" s="11" t="s">
        <v>655</v>
      </c>
      <c r="B16" s="65">
        <v>200</v>
      </c>
      <c r="E16" s="1">
        <v>0</v>
      </c>
      <c r="F16" s="1">
        <f t="shared" si="1"/>
        <v>0</v>
      </c>
      <c r="G16" s="1">
        <v>400</v>
      </c>
      <c r="H16" s="1">
        <v>231.78</v>
      </c>
      <c r="I16" s="1">
        <v>164.76</v>
      </c>
      <c r="J16" s="12">
        <f t="shared" si="0"/>
        <v>0.5</v>
      </c>
    </row>
    <row r="17" spans="1:10">
      <c r="A17" s="11" t="s">
        <v>656</v>
      </c>
      <c r="B17" s="65">
        <v>1800</v>
      </c>
      <c r="D17" s="35">
        <v>1407.2</v>
      </c>
      <c r="E17" s="1">
        <v>546.17999999999995</v>
      </c>
      <c r="F17" s="1">
        <f t="shared" si="1"/>
        <v>1953.38</v>
      </c>
      <c r="G17" s="1">
        <v>1800</v>
      </c>
      <c r="H17" s="1">
        <v>1690.36</v>
      </c>
      <c r="I17" s="1">
        <v>1217.48</v>
      </c>
      <c r="J17" s="12">
        <f t="shared" si="0"/>
        <v>1</v>
      </c>
    </row>
    <row r="18" spans="1:10">
      <c r="A18" s="11" t="s">
        <v>657</v>
      </c>
      <c r="B18" s="65">
        <v>250</v>
      </c>
      <c r="D18" s="35">
        <v>265.22000000000003</v>
      </c>
      <c r="E18" s="1">
        <v>0</v>
      </c>
      <c r="F18" s="1">
        <f t="shared" si="1"/>
        <v>265.22000000000003</v>
      </c>
      <c r="G18" s="1">
        <v>100</v>
      </c>
      <c r="H18" s="1">
        <v>50.29</v>
      </c>
      <c r="I18" s="1">
        <v>3.75</v>
      </c>
      <c r="J18" s="12">
        <f t="shared" si="0"/>
        <v>2.5</v>
      </c>
    </row>
    <row r="19" spans="1:10">
      <c r="A19" s="11" t="s">
        <v>658</v>
      </c>
      <c r="B19" s="65">
        <v>110000</v>
      </c>
      <c r="D19" s="35">
        <v>63644.29</v>
      </c>
      <c r="E19" s="1">
        <v>50230.720000000001</v>
      </c>
      <c r="F19" s="1">
        <f t="shared" si="1"/>
        <v>113875.01000000001</v>
      </c>
      <c r="G19" s="1">
        <v>85000</v>
      </c>
      <c r="H19" s="1">
        <v>104602.91</v>
      </c>
      <c r="I19" s="1">
        <v>109454.59</v>
      </c>
      <c r="J19" s="12">
        <f t="shared" si="0"/>
        <v>1.2941176470588236</v>
      </c>
    </row>
    <row r="20" spans="1:10">
      <c r="A20" s="11" t="s">
        <v>659</v>
      </c>
      <c r="B20" s="65">
        <v>500</v>
      </c>
      <c r="D20" s="35">
        <v>183.05</v>
      </c>
      <c r="E20" s="1">
        <v>2293.6799999999998</v>
      </c>
      <c r="F20" s="1">
        <f t="shared" si="1"/>
        <v>2476.73</v>
      </c>
      <c r="G20" s="1">
        <v>500</v>
      </c>
      <c r="H20" s="1">
        <v>2443.08</v>
      </c>
      <c r="I20" s="1">
        <v>593.48</v>
      </c>
      <c r="J20" s="12">
        <f t="shared" si="0"/>
        <v>1</v>
      </c>
    </row>
    <row r="21" spans="1:10">
      <c r="A21" s="11" t="s">
        <v>660</v>
      </c>
      <c r="B21" s="65">
        <v>28000</v>
      </c>
      <c r="D21" s="35">
        <v>20646.7</v>
      </c>
      <c r="E21" s="1">
        <v>13300</v>
      </c>
      <c r="F21" s="1">
        <f t="shared" si="1"/>
        <v>33946.699999999997</v>
      </c>
      <c r="G21" s="1">
        <v>25000</v>
      </c>
      <c r="H21" s="1">
        <v>27700</v>
      </c>
      <c r="I21" s="1">
        <v>35920.5</v>
      </c>
      <c r="J21" s="12">
        <f t="shared" si="0"/>
        <v>1.1200000000000001</v>
      </c>
    </row>
    <row r="22" spans="1:10">
      <c r="A22" s="11" t="s">
        <v>661</v>
      </c>
      <c r="B22" s="65">
        <v>1200</v>
      </c>
      <c r="D22" s="35"/>
      <c r="E22" s="1">
        <v>1079.1600000000001</v>
      </c>
      <c r="F22" s="1">
        <f t="shared" si="1"/>
        <v>1079.1600000000001</v>
      </c>
      <c r="G22" s="1">
        <v>1200</v>
      </c>
      <c r="H22" s="1">
        <v>1079.1600000000001</v>
      </c>
      <c r="I22" s="1">
        <v>1244.7</v>
      </c>
      <c r="J22" s="12">
        <f t="shared" si="0"/>
        <v>1</v>
      </c>
    </row>
    <row r="23" spans="1:10">
      <c r="A23" s="11" t="s">
        <v>662</v>
      </c>
      <c r="B23" s="65">
        <v>5000</v>
      </c>
      <c r="D23" s="35">
        <v>65.790000000000006</v>
      </c>
      <c r="E23" s="1">
        <v>6098.98</v>
      </c>
      <c r="F23" s="1">
        <f t="shared" si="1"/>
        <v>6164.7699999999995</v>
      </c>
      <c r="G23" s="1">
        <v>5000</v>
      </c>
      <c r="H23" s="1">
        <v>6098.98</v>
      </c>
      <c r="J23" s="12">
        <f t="shared" si="0"/>
        <v>1</v>
      </c>
    </row>
    <row r="24" spans="1:10">
      <c r="A24" s="11" t="s">
        <v>663</v>
      </c>
      <c r="B24" s="65">
        <v>5500</v>
      </c>
      <c r="D24" s="35">
        <v>1775.69</v>
      </c>
      <c r="E24" s="1">
        <v>151.61000000000001</v>
      </c>
      <c r="F24" s="1">
        <f t="shared" si="1"/>
        <v>1927.3000000000002</v>
      </c>
      <c r="G24" s="1">
        <v>5500</v>
      </c>
      <c r="H24" s="1">
        <v>217.81</v>
      </c>
      <c r="I24" s="1">
        <v>1637.03</v>
      </c>
      <c r="J24" s="12">
        <f t="shared" si="0"/>
        <v>1</v>
      </c>
    </row>
    <row r="25" spans="1:10">
      <c r="A25" s="11" t="s">
        <v>664</v>
      </c>
      <c r="B25" s="65">
        <v>100</v>
      </c>
      <c r="E25" s="1">
        <v>98</v>
      </c>
      <c r="F25" s="1">
        <f t="shared" si="1"/>
        <v>98</v>
      </c>
      <c r="H25" s="1">
        <v>98</v>
      </c>
      <c r="J25" s="12"/>
    </row>
    <row r="26" spans="1:10">
      <c r="A26" s="11" t="s">
        <v>665</v>
      </c>
      <c r="B26" s="65">
        <v>0</v>
      </c>
      <c r="E26" s="1">
        <v>0</v>
      </c>
      <c r="F26" s="1">
        <f t="shared" si="1"/>
        <v>0</v>
      </c>
      <c r="H26" s="1">
        <v>6939.52</v>
      </c>
      <c r="I26" s="1">
        <v>6607.24</v>
      </c>
      <c r="J26" s="12"/>
    </row>
    <row r="27" spans="1:10">
      <c r="A27" s="11" t="s">
        <v>666</v>
      </c>
      <c r="B27" s="65">
        <v>1500</v>
      </c>
      <c r="D27" s="35">
        <v>1597.03</v>
      </c>
      <c r="E27" s="1">
        <v>752.23</v>
      </c>
      <c r="F27" s="1">
        <f t="shared" si="1"/>
        <v>2349.2600000000002</v>
      </c>
      <c r="G27" s="1">
        <v>1500</v>
      </c>
      <c r="H27" s="1">
        <v>756.8</v>
      </c>
      <c r="I27" s="1">
        <v>766.56</v>
      </c>
      <c r="J27" s="12">
        <f t="shared" si="0"/>
        <v>1</v>
      </c>
    </row>
    <row r="28" spans="1:10">
      <c r="A28" s="11" t="s">
        <v>667</v>
      </c>
      <c r="B28" s="65">
        <v>5000</v>
      </c>
      <c r="D28" s="35">
        <v>877</v>
      </c>
      <c r="E28" s="1">
        <v>52.96</v>
      </c>
      <c r="F28" s="1">
        <f t="shared" si="1"/>
        <v>929.96</v>
      </c>
      <c r="G28" s="1">
        <v>5000</v>
      </c>
      <c r="H28" s="1">
        <v>3515.18</v>
      </c>
      <c r="I28" s="1">
        <v>1421.54</v>
      </c>
      <c r="J28" s="12">
        <f t="shared" si="0"/>
        <v>1</v>
      </c>
    </row>
    <row r="29" spans="1:10">
      <c r="A29" s="11" t="s">
        <v>668</v>
      </c>
      <c r="B29" s="65">
        <v>10000</v>
      </c>
      <c r="D29" s="35">
        <v>7751.56</v>
      </c>
      <c r="E29" s="1">
        <v>2997.77</v>
      </c>
      <c r="F29" s="1">
        <f t="shared" si="1"/>
        <v>10749.33</v>
      </c>
      <c r="G29" s="1">
        <v>7000</v>
      </c>
      <c r="H29" s="1">
        <v>8801.9699999999993</v>
      </c>
      <c r="I29" s="1">
        <v>4966.5</v>
      </c>
      <c r="J29" s="12">
        <f t="shared" si="0"/>
        <v>1.4285714285714286</v>
      </c>
    </row>
    <row r="30" spans="1:10">
      <c r="A30" s="11" t="s">
        <v>669</v>
      </c>
      <c r="B30" s="65">
        <v>10000</v>
      </c>
      <c r="D30" s="35">
        <v>9537.98</v>
      </c>
      <c r="E30" s="1">
        <v>342.69</v>
      </c>
      <c r="F30" s="1">
        <f t="shared" si="1"/>
        <v>9880.67</v>
      </c>
      <c r="G30" s="1">
        <v>10000</v>
      </c>
      <c r="H30" s="1">
        <v>933.13</v>
      </c>
      <c r="J30" s="12">
        <f t="shared" si="0"/>
        <v>1</v>
      </c>
    </row>
    <row r="31" spans="1:10">
      <c r="A31" s="11" t="s">
        <v>670</v>
      </c>
      <c r="B31" s="65">
        <v>500</v>
      </c>
      <c r="D31" s="35">
        <v>2469.54</v>
      </c>
      <c r="E31" s="1">
        <v>1942</v>
      </c>
      <c r="F31" s="1">
        <f t="shared" si="1"/>
        <v>4411.54</v>
      </c>
      <c r="G31" s="1">
        <v>500</v>
      </c>
      <c r="H31" s="1">
        <v>2577.3000000000002</v>
      </c>
      <c r="I31" s="1">
        <v>1252.46</v>
      </c>
      <c r="J31" s="12">
        <f t="shared" si="0"/>
        <v>1</v>
      </c>
    </row>
    <row r="32" spans="1:10">
      <c r="A32" s="11" t="s">
        <v>671</v>
      </c>
      <c r="B32" s="65">
        <v>2500</v>
      </c>
      <c r="D32" s="35"/>
      <c r="E32" s="1">
        <v>4247.26</v>
      </c>
      <c r="F32" s="1">
        <f t="shared" si="1"/>
        <v>4247.26</v>
      </c>
      <c r="G32" s="1">
        <v>5000</v>
      </c>
      <c r="H32" s="1">
        <v>9183.56</v>
      </c>
      <c r="I32" s="1">
        <v>8635.18</v>
      </c>
      <c r="J32" s="12">
        <f t="shared" si="0"/>
        <v>0.5</v>
      </c>
    </row>
    <row r="33" spans="1:11">
      <c r="A33" s="11" t="s">
        <v>672</v>
      </c>
      <c r="B33" s="65">
        <v>115000</v>
      </c>
      <c r="D33" s="35">
        <v>62989.13</v>
      </c>
      <c r="E33" s="1">
        <v>48601.760000000002</v>
      </c>
      <c r="F33" s="1">
        <f t="shared" si="1"/>
        <v>111590.89</v>
      </c>
      <c r="G33" s="1">
        <v>115000</v>
      </c>
      <c r="H33" s="1">
        <v>109800.99</v>
      </c>
      <c r="I33" s="1">
        <v>109493.96</v>
      </c>
      <c r="J33" s="12">
        <f t="shared" si="0"/>
        <v>1</v>
      </c>
    </row>
    <row r="34" spans="1:11">
      <c r="A34" s="11" t="s">
        <v>673</v>
      </c>
      <c r="B34" s="65">
        <v>0</v>
      </c>
      <c r="E34" s="1">
        <v>0</v>
      </c>
      <c r="F34" s="1">
        <f t="shared" si="1"/>
        <v>0</v>
      </c>
      <c r="G34" s="1">
        <v>12000</v>
      </c>
      <c r="I34" s="1">
        <v>13895.7</v>
      </c>
      <c r="J34" s="12">
        <f t="shared" si="0"/>
        <v>0</v>
      </c>
    </row>
    <row r="35" spans="1:11">
      <c r="A35" s="11" t="s">
        <v>674</v>
      </c>
      <c r="B35" s="65">
        <v>9000</v>
      </c>
      <c r="D35" s="35">
        <v>5190.2299999999996</v>
      </c>
      <c r="E35" s="1">
        <v>3644.95</v>
      </c>
      <c r="F35" s="1">
        <f t="shared" si="1"/>
        <v>8835.18</v>
      </c>
      <c r="G35" s="1">
        <v>9000</v>
      </c>
      <c r="H35" s="1">
        <v>8767.4500000000007</v>
      </c>
      <c r="I35" s="1">
        <v>8868.7000000000007</v>
      </c>
      <c r="J35" s="12">
        <f t="shared" si="0"/>
        <v>1</v>
      </c>
    </row>
    <row r="36" spans="1:11">
      <c r="A36" s="11" t="s">
        <v>675</v>
      </c>
      <c r="B36" s="65">
        <v>0</v>
      </c>
      <c r="D36" s="35"/>
      <c r="E36" s="1">
        <v>0</v>
      </c>
      <c r="F36" s="1">
        <f t="shared" si="1"/>
        <v>0</v>
      </c>
      <c r="H36" s="1">
        <v>0.1</v>
      </c>
      <c r="J36" s="12"/>
    </row>
    <row r="37" spans="1:11">
      <c r="A37" s="11" t="s">
        <v>676</v>
      </c>
      <c r="B37" s="65">
        <v>0</v>
      </c>
      <c r="D37" s="35"/>
      <c r="E37" s="1">
        <v>6717.36</v>
      </c>
      <c r="F37" s="1">
        <f t="shared" si="1"/>
        <v>6717.36</v>
      </c>
      <c r="H37" s="1">
        <v>6717.36</v>
      </c>
      <c r="I37" s="1">
        <v>11328.38</v>
      </c>
      <c r="J37" s="12"/>
    </row>
    <row r="38" spans="1:11">
      <c r="A38" s="11" t="s">
        <v>677</v>
      </c>
      <c r="B38" s="115">
        <v>16450</v>
      </c>
      <c r="D38" s="35">
        <v>7570.16</v>
      </c>
      <c r="E38" s="1">
        <v>9943.86</v>
      </c>
      <c r="F38" s="1">
        <f t="shared" si="1"/>
        <v>17514.02</v>
      </c>
      <c r="G38" s="1">
        <v>14400</v>
      </c>
      <c r="H38" s="1">
        <v>17698.939999999999</v>
      </c>
      <c r="I38" s="1">
        <v>12931.7</v>
      </c>
      <c r="J38" s="12">
        <f t="shared" si="0"/>
        <v>1.1423611111111112</v>
      </c>
    </row>
    <row r="39" spans="1:11">
      <c r="A39" s="11" t="s">
        <v>678</v>
      </c>
      <c r="B39" s="65">
        <v>0</v>
      </c>
      <c r="E39" s="1">
        <v>0</v>
      </c>
      <c r="F39" s="1">
        <f t="shared" si="1"/>
        <v>0</v>
      </c>
      <c r="H39" s="1">
        <v>-72.48</v>
      </c>
      <c r="J39" s="12"/>
    </row>
    <row r="40" spans="1:11">
      <c r="B40" s="66" t="s">
        <v>21</v>
      </c>
      <c r="D40" s="13" t="s">
        <v>21</v>
      </c>
      <c r="E40" s="13"/>
      <c r="F40" s="13" t="s">
        <v>21</v>
      </c>
      <c r="G40" s="13" t="s">
        <v>21</v>
      </c>
      <c r="H40" s="13" t="s">
        <v>21</v>
      </c>
      <c r="I40" s="13" t="s">
        <v>21</v>
      </c>
      <c r="J40" s="13" t="s">
        <v>21</v>
      </c>
    </row>
    <row r="41" spans="1:11">
      <c r="A41" s="11" t="s">
        <v>22</v>
      </c>
      <c r="B41" s="65">
        <f>SUM(B11:B39)</f>
        <v>183700</v>
      </c>
      <c r="C41" s="11"/>
      <c r="D41" s="1">
        <f>SUM(D11:D39)</f>
        <v>98444.4</v>
      </c>
      <c r="E41" s="1">
        <f>SUM(E11:E39)</f>
        <v>77370.599999999991</v>
      </c>
      <c r="F41" s="1">
        <f>SUM(F11:F39)</f>
        <v>175814.99999999997</v>
      </c>
      <c r="G41" s="1">
        <v>195100</v>
      </c>
      <c r="H41" s="1">
        <v>170210.92</v>
      </c>
      <c r="I41" s="1">
        <v>169128.9</v>
      </c>
      <c r="J41" s="12">
        <f t="shared" si="0"/>
        <v>0.94156842644797545</v>
      </c>
      <c r="K41" s="11"/>
    </row>
    <row r="42" spans="1:11">
      <c r="B42" s="13" t="s">
        <v>21</v>
      </c>
      <c r="D42" s="13" t="s">
        <v>21</v>
      </c>
      <c r="E42" s="13"/>
      <c r="F42" s="13" t="s">
        <v>21</v>
      </c>
      <c r="G42" s="13" t="s">
        <v>21</v>
      </c>
      <c r="H42" s="13" t="s">
        <v>21</v>
      </c>
      <c r="I42" s="13" t="s">
        <v>21</v>
      </c>
      <c r="J42" s="13" t="s">
        <v>21</v>
      </c>
    </row>
    <row r="43" spans="1:11">
      <c r="B43" s="1"/>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38.xml><?xml version="1.0" encoding="utf-8"?>
<worksheet xmlns="http://schemas.openxmlformats.org/spreadsheetml/2006/main" xmlns:r="http://schemas.openxmlformats.org/officeDocument/2006/relationships">
  <sheetPr>
    <pageSetUpPr fitToPage="1"/>
  </sheetPr>
  <dimension ref="A1:L45"/>
  <sheetViews>
    <sheetView workbookViewId="0">
      <pane ySplit="8" topLeftCell="A9" activePane="bottomLeft" state="frozenSplit"/>
      <selection pane="bottomLeft" activeCell="A43" sqref="A43"/>
    </sheetView>
  </sheetViews>
  <sheetFormatPr defaultColWidth="9.1640625" defaultRowHeight="12.75" outlineLevelCol="1"/>
  <cols>
    <col min="1" max="1" width="50.33203125" customWidth="1"/>
    <col min="2" max="2" width="14.5" customWidth="1"/>
    <col min="3" max="3" width="2.66406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2" ht="15">
      <c r="A1" s="125" t="s">
        <v>0</v>
      </c>
      <c r="B1" s="125"/>
      <c r="C1" s="125"/>
      <c r="D1" s="125"/>
      <c r="E1" s="125"/>
      <c r="F1" s="125"/>
      <c r="G1" s="125"/>
      <c r="H1" s="125"/>
      <c r="I1" s="125"/>
      <c r="J1" s="125"/>
      <c r="K1" s="4"/>
    </row>
    <row r="2" spans="1:12">
      <c r="A2" s="126" t="s">
        <v>978</v>
      </c>
      <c r="B2" s="126"/>
      <c r="C2" s="126"/>
      <c r="D2" s="126"/>
      <c r="E2" s="126"/>
      <c r="F2" s="126"/>
      <c r="G2" s="126"/>
      <c r="H2" s="126"/>
      <c r="I2" s="126"/>
      <c r="J2" s="126"/>
      <c r="K2" s="8"/>
    </row>
    <row r="3" spans="1:12">
      <c r="A3" s="126" t="s">
        <v>765</v>
      </c>
      <c r="B3" s="126"/>
      <c r="C3" s="126"/>
      <c r="D3" s="126"/>
      <c r="E3" s="126"/>
      <c r="F3" s="126"/>
      <c r="G3" s="126"/>
      <c r="H3" s="126"/>
      <c r="I3" s="126"/>
      <c r="J3" s="126"/>
      <c r="K3" s="8"/>
    </row>
    <row r="5" spans="1:12">
      <c r="B5" s="9" t="s">
        <v>941</v>
      </c>
      <c r="D5" s="42" t="s">
        <v>1</v>
      </c>
      <c r="E5" s="41" t="s">
        <v>760</v>
      </c>
      <c r="F5" s="43" t="s">
        <v>2</v>
      </c>
      <c r="J5" s="46" t="s">
        <v>8</v>
      </c>
    </row>
    <row r="6" spans="1:12">
      <c r="B6" s="9" t="s">
        <v>3</v>
      </c>
      <c r="D6" s="42" t="s">
        <v>761</v>
      </c>
      <c r="E6" s="41" t="s">
        <v>759</v>
      </c>
      <c r="F6" s="43" t="s">
        <v>4</v>
      </c>
      <c r="G6" s="10" t="s">
        <v>4</v>
      </c>
      <c r="H6" s="10" t="s">
        <v>5</v>
      </c>
      <c r="I6" s="10" t="s">
        <v>6</v>
      </c>
      <c r="J6" s="10" t="s">
        <v>774</v>
      </c>
      <c r="K6" s="9" t="s">
        <v>7</v>
      </c>
    </row>
    <row r="7" spans="1:12">
      <c r="B7" s="9" t="s">
        <v>8</v>
      </c>
      <c r="D7" s="42" t="s">
        <v>4</v>
      </c>
      <c r="E7" s="41" t="s">
        <v>5</v>
      </c>
      <c r="F7" s="43" t="s">
        <v>9</v>
      </c>
      <c r="G7" s="10" t="s">
        <v>8</v>
      </c>
      <c r="H7" s="10" t="s">
        <v>9</v>
      </c>
      <c r="I7" s="10" t="s">
        <v>9</v>
      </c>
      <c r="J7" s="10" t="s">
        <v>775</v>
      </c>
    </row>
    <row r="10" spans="1:12">
      <c r="A10" s="11" t="s">
        <v>10</v>
      </c>
    </row>
    <row r="11" spans="1:12">
      <c r="A11" s="11" t="s">
        <v>679</v>
      </c>
      <c r="B11" s="56">
        <v>-8000</v>
      </c>
      <c r="D11" s="35">
        <v>-1514</v>
      </c>
      <c r="E11" s="1">
        <v>0</v>
      </c>
      <c r="F11" s="1">
        <f>D11+E11</f>
        <v>-1514</v>
      </c>
      <c r="G11" s="1">
        <v>-8000</v>
      </c>
      <c r="H11" s="1">
        <v>-1000</v>
      </c>
      <c r="I11" s="1">
        <v>-5151.16</v>
      </c>
      <c r="J11" s="12">
        <f t="shared" ref="J11:J41" si="0">B11/G11</f>
        <v>1</v>
      </c>
    </row>
    <row r="12" spans="1:12">
      <c r="A12" s="11" t="s">
        <v>680</v>
      </c>
      <c r="B12" s="56">
        <v>-268800</v>
      </c>
      <c r="D12" s="35">
        <v>-259408.65</v>
      </c>
      <c r="E12" s="1">
        <v>-3148.76</v>
      </c>
      <c r="F12" s="1">
        <f t="shared" ref="F12:F39" si="1">D12+E12</f>
        <v>-262557.40999999997</v>
      </c>
      <c r="G12" s="1">
        <v>-257000</v>
      </c>
      <c r="H12" s="1">
        <v>-260619.42</v>
      </c>
      <c r="I12" s="1">
        <v>-356448.95</v>
      </c>
      <c r="J12" s="12">
        <f t="shared" si="0"/>
        <v>1.0459143968871596</v>
      </c>
      <c r="L12">
        <f>F12*0.024</f>
        <v>-6301.3778399999992</v>
      </c>
    </row>
    <row r="13" spans="1:12">
      <c r="A13" s="11" t="s">
        <v>681</v>
      </c>
      <c r="B13" s="56">
        <v>-4800</v>
      </c>
      <c r="D13" s="35">
        <v>-4786</v>
      </c>
      <c r="E13" s="1">
        <v>0</v>
      </c>
      <c r="F13" s="1">
        <f t="shared" si="1"/>
        <v>-4786</v>
      </c>
      <c r="G13" s="1">
        <v>-4800</v>
      </c>
      <c r="I13" s="1">
        <v>-4865</v>
      </c>
      <c r="J13" s="12">
        <f t="shared" si="0"/>
        <v>1</v>
      </c>
    </row>
    <row r="14" spans="1:12">
      <c r="A14" s="11" t="s">
        <v>682</v>
      </c>
      <c r="B14" s="56">
        <v>-26000</v>
      </c>
      <c r="E14" s="1">
        <v>-24871.95</v>
      </c>
      <c r="F14" s="1">
        <f t="shared" si="1"/>
        <v>-24871.95</v>
      </c>
      <c r="G14" s="1">
        <v>-15000</v>
      </c>
      <c r="H14" s="1">
        <v>-24871.95</v>
      </c>
      <c r="I14" s="1">
        <v>-39729.279999999999</v>
      </c>
      <c r="J14" s="12">
        <f t="shared" si="0"/>
        <v>1.7333333333333334</v>
      </c>
    </row>
    <row r="15" spans="1:12">
      <c r="A15" s="11" t="s">
        <v>683</v>
      </c>
      <c r="B15" s="123">
        <v>-7000</v>
      </c>
      <c r="E15" s="1">
        <v>-2114.5</v>
      </c>
      <c r="F15" s="1">
        <f t="shared" si="1"/>
        <v>-2114.5</v>
      </c>
      <c r="G15" s="1">
        <v>-15000</v>
      </c>
      <c r="H15" s="1">
        <v>-6979.5</v>
      </c>
      <c r="I15" s="1">
        <v>-650.28</v>
      </c>
      <c r="J15" s="12">
        <f t="shared" si="0"/>
        <v>0.46666666666666667</v>
      </c>
    </row>
    <row r="16" spans="1:12">
      <c r="A16" s="11" t="s">
        <v>684</v>
      </c>
      <c r="B16" s="123">
        <v>0</v>
      </c>
      <c r="E16" s="1">
        <v>0</v>
      </c>
      <c r="F16" s="1">
        <f t="shared" si="1"/>
        <v>0</v>
      </c>
      <c r="G16" s="1">
        <v>-3000</v>
      </c>
      <c r="J16" s="12">
        <f t="shared" si="0"/>
        <v>0</v>
      </c>
    </row>
    <row r="17" spans="1:10">
      <c r="A17" s="11" t="s">
        <v>685</v>
      </c>
      <c r="B17" s="123">
        <v>-15000</v>
      </c>
      <c r="D17" s="1">
        <v>-968.32</v>
      </c>
      <c r="E17" s="1">
        <v>-11792.48</v>
      </c>
      <c r="F17" s="1">
        <f t="shared" si="1"/>
        <v>-12760.8</v>
      </c>
      <c r="G17" s="1">
        <v>-20000</v>
      </c>
      <c r="H17" s="1">
        <v>-12442.48</v>
      </c>
      <c r="I17" s="1">
        <v>-18861.66</v>
      </c>
      <c r="J17" s="12">
        <f t="shared" si="0"/>
        <v>0.75</v>
      </c>
    </row>
    <row r="18" spans="1:10">
      <c r="A18" s="11" t="s">
        <v>686</v>
      </c>
      <c r="B18" s="56">
        <v>1200</v>
      </c>
      <c r="E18" s="1">
        <v>797.44</v>
      </c>
      <c r="F18" s="1">
        <f t="shared" si="1"/>
        <v>797.44</v>
      </c>
      <c r="G18" s="1">
        <v>2200</v>
      </c>
      <c r="H18" s="1">
        <v>1537.8</v>
      </c>
      <c r="I18" s="1">
        <v>905.21</v>
      </c>
      <c r="J18" s="12">
        <f t="shared" si="0"/>
        <v>0.54545454545454541</v>
      </c>
    </row>
    <row r="19" spans="1:10">
      <c r="A19" s="11" t="s">
        <v>687</v>
      </c>
      <c r="B19" s="123">
        <v>1000</v>
      </c>
      <c r="E19" s="1">
        <v>0</v>
      </c>
      <c r="F19" s="1">
        <f t="shared" si="1"/>
        <v>0</v>
      </c>
      <c r="G19" s="1">
        <v>1000</v>
      </c>
      <c r="H19" s="1">
        <v>566.16999999999996</v>
      </c>
      <c r="I19" s="1">
        <v>249.78</v>
      </c>
      <c r="J19" s="12">
        <f t="shared" si="0"/>
        <v>1</v>
      </c>
    </row>
    <row r="20" spans="1:10">
      <c r="A20" s="11" t="s">
        <v>688</v>
      </c>
      <c r="B20" s="123">
        <v>12000</v>
      </c>
      <c r="D20" s="35">
        <v>6669.53</v>
      </c>
      <c r="E20" s="1">
        <v>7684.96</v>
      </c>
      <c r="F20" s="1">
        <f t="shared" si="1"/>
        <v>14354.49</v>
      </c>
      <c r="G20" s="1">
        <v>8600</v>
      </c>
      <c r="H20" s="1">
        <v>13371.77</v>
      </c>
      <c r="I20" s="1">
        <v>8300.99</v>
      </c>
      <c r="J20" s="12">
        <f t="shared" si="0"/>
        <v>1.3953488372093024</v>
      </c>
    </row>
    <row r="21" spans="1:10">
      <c r="A21" s="11" t="s">
        <v>689</v>
      </c>
      <c r="B21" s="123">
        <v>350</v>
      </c>
      <c r="D21" s="35">
        <v>346.68</v>
      </c>
      <c r="E21" s="1">
        <v>0</v>
      </c>
      <c r="F21" s="1">
        <f t="shared" si="1"/>
        <v>346.68</v>
      </c>
      <c r="G21" s="1">
        <v>250</v>
      </c>
      <c r="H21" s="1">
        <v>4</v>
      </c>
      <c r="I21" s="1">
        <v>59.22</v>
      </c>
      <c r="J21" s="12">
        <f t="shared" si="0"/>
        <v>1.4</v>
      </c>
    </row>
    <row r="22" spans="1:10">
      <c r="A22" s="11" t="s">
        <v>690</v>
      </c>
      <c r="B22" s="123">
        <v>1000</v>
      </c>
      <c r="D22" s="35"/>
      <c r="E22" s="1">
        <v>432.01</v>
      </c>
      <c r="F22" s="1">
        <f t="shared" si="1"/>
        <v>432.01</v>
      </c>
      <c r="G22" s="1">
        <v>2500</v>
      </c>
      <c r="H22" s="1">
        <v>2089.4299999999998</v>
      </c>
      <c r="J22" s="12">
        <f t="shared" si="0"/>
        <v>0.4</v>
      </c>
    </row>
    <row r="23" spans="1:10">
      <c r="A23" s="11" t="s">
        <v>691</v>
      </c>
      <c r="B23" s="123">
        <v>6000</v>
      </c>
      <c r="D23" s="35">
        <v>4212.88</v>
      </c>
      <c r="E23" s="1">
        <v>2022.22</v>
      </c>
      <c r="F23" s="1">
        <f t="shared" si="1"/>
        <v>6235.1</v>
      </c>
      <c r="G23" s="1">
        <v>5900</v>
      </c>
      <c r="H23" s="1">
        <v>5898.22</v>
      </c>
      <c r="I23" s="1">
        <v>5469</v>
      </c>
      <c r="J23" s="12">
        <f t="shared" si="0"/>
        <v>1.0169491525423728</v>
      </c>
    </row>
    <row r="24" spans="1:10">
      <c r="A24" s="11" t="s">
        <v>692</v>
      </c>
      <c r="B24" s="123">
        <v>7500</v>
      </c>
      <c r="D24" s="35">
        <v>4378.93</v>
      </c>
      <c r="E24" s="1">
        <v>3738.09</v>
      </c>
      <c r="F24" s="1">
        <f t="shared" si="1"/>
        <v>8117.02</v>
      </c>
      <c r="G24" s="1">
        <v>8000</v>
      </c>
      <c r="H24" s="1">
        <v>7138.45</v>
      </c>
      <c r="I24" s="1">
        <v>8031.71</v>
      </c>
      <c r="J24" s="12">
        <f t="shared" si="0"/>
        <v>0.9375</v>
      </c>
    </row>
    <row r="25" spans="1:10">
      <c r="A25" s="11" t="s">
        <v>693</v>
      </c>
      <c r="B25" s="123">
        <v>12500</v>
      </c>
      <c r="D25" s="35">
        <v>9004.3799999999992</v>
      </c>
      <c r="E25" s="1">
        <v>2958.68</v>
      </c>
      <c r="F25" s="1">
        <f t="shared" si="1"/>
        <v>11963.06</v>
      </c>
      <c r="G25" s="1">
        <v>10000</v>
      </c>
      <c r="H25" s="1">
        <v>3363.3</v>
      </c>
      <c r="I25" s="1">
        <v>9043.49</v>
      </c>
      <c r="J25" s="12">
        <f t="shared" si="0"/>
        <v>1.25</v>
      </c>
    </row>
    <row r="26" spans="1:10">
      <c r="A26" s="11" t="s">
        <v>694</v>
      </c>
      <c r="B26" s="123">
        <v>1000</v>
      </c>
      <c r="E26" s="1">
        <v>909.57</v>
      </c>
      <c r="F26" s="1">
        <f t="shared" si="1"/>
        <v>909.57</v>
      </c>
      <c r="G26" s="1">
        <v>1000</v>
      </c>
      <c r="H26" s="1">
        <v>1122.3900000000001</v>
      </c>
      <c r="I26" s="1">
        <v>289.33</v>
      </c>
      <c r="J26" s="12">
        <f t="shared" si="0"/>
        <v>1</v>
      </c>
    </row>
    <row r="27" spans="1:10">
      <c r="A27" s="11" t="s">
        <v>695</v>
      </c>
      <c r="B27" s="123">
        <v>6000</v>
      </c>
      <c r="D27" s="35">
        <v>3254.15</v>
      </c>
      <c r="E27" s="1">
        <v>2645</v>
      </c>
      <c r="F27" s="1">
        <f t="shared" si="1"/>
        <v>5899.15</v>
      </c>
      <c r="G27" s="1">
        <v>4000</v>
      </c>
      <c r="H27" s="1">
        <v>7641.72</v>
      </c>
      <c r="I27" s="1">
        <v>8432.0499999999993</v>
      </c>
      <c r="J27" s="12">
        <f t="shared" si="0"/>
        <v>1.5</v>
      </c>
    </row>
    <row r="28" spans="1:10">
      <c r="A28" s="11" t="s">
        <v>696</v>
      </c>
      <c r="B28" s="123">
        <v>21500</v>
      </c>
      <c r="D28" s="35">
        <v>19158.14</v>
      </c>
      <c r="E28" s="1">
        <v>9167.99</v>
      </c>
      <c r="F28" s="1">
        <f t="shared" si="1"/>
        <v>28326.129999999997</v>
      </c>
      <c r="G28" s="1">
        <v>30000</v>
      </c>
      <c r="H28" s="1">
        <v>28241.599999999999</v>
      </c>
      <c r="I28" s="1">
        <v>2529.3000000000002</v>
      </c>
      <c r="J28" s="12">
        <f t="shared" si="0"/>
        <v>0.71666666666666667</v>
      </c>
    </row>
    <row r="29" spans="1:10">
      <c r="A29" s="11" t="s">
        <v>697</v>
      </c>
      <c r="B29" s="123">
        <v>14000</v>
      </c>
      <c r="D29" s="35">
        <v>2859.28</v>
      </c>
      <c r="E29" s="1">
        <v>11092.27</v>
      </c>
      <c r="F29" s="1">
        <f t="shared" si="1"/>
        <v>13951.550000000001</v>
      </c>
      <c r="G29" s="1">
        <v>7000</v>
      </c>
      <c r="H29" s="1">
        <v>13596.07</v>
      </c>
      <c r="I29" s="1">
        <v>11235.61</v>
      </c>
      <c r="J29" s="12">
        <f t="shared" si="0"/>
        <v>2</v>
      </c>
    </row>
    <row r="30" spans="1:10">
      <c r="A30" s="11" t="s">
        <v>698</v>
      </c>
      <c r="B30" s="123">
        <v>1500</v>
      </c>
      <c r="D30" s="35"/>
      <c r="E30" s="1">
        <v>0</v>
      </c>
      <c r="F30" s="1">
        <f t="shared" si="1"/>
        <v>0</v>
      </c>
      <c r="G30" s="1">
        <v>1500</v>
      </c>
      <c r="J30" s="12">
        <f t="shared" si="0"/>
        <v>1</v>
      </c>
    </row>
    <row r="31" spans="1:10">
      <c r="A31" s="11" t="s">
        <v>699</v>
      </c>
      <c r="B31" s="123">
        <v>2000</v>
      </c>
      <c r="D31" s="35">
        <v>248</v>
      </c>
      <c r="E31" s="1">
        <v>367.9</v>
      </c>
      <c r="F31" s="1">
        <f t="shared" si="1"/>
        <v>615.9</v>
      </c>
      <c r="G31" s="1">
        <v>2000</v>
      </c>
      <c r="H31" s="1">
        <v>678.65</v>
      </c>
      <c r="I31" s="1">
        <v>951.23</v>
      </c>
      <c r="J31" s="12">
        <f t="shared" si="0"/>
        <v>1</v>
      </c>
    </row>
    <row r="32" spans="1:10">
      <c r="A32" s="11" t="s">
        <v>700</v>
      </c>
      <c r="B32" s="123">
        <v>2000</v>
      </c>
      <c r="D32" s="35"/>
      <c r="E32" s="1">
        <v>242.3</v>
      </c>
      <c r="F32" s="1">
        <f t="shared" si="1"/>
        <v>242.3</v>
      </c>
      <c r="G32" s="1">
        <v>3000</v>
      </c>
      <c r="H32" s="1">
        <v>242.3</v>
      </c>
      <c r="J32" s="12">
        <f t="shared" si="0"/>
        <v>0.66666666666666663</v>
      </c>
    </row>
    <row r="33" spans="1:11">
      <c r="A33" s="11" t="s">
        <v>701</v>
      </c>
      <c r="B33" s="123">
        <v>187000</v>
      </c>
      <c r="D33" s="35">
        <v>118244.41</v>
      </c>
      <c r="E33" s="1">
        <v>68132.240000000005</v>
      </c>
      <c r="F33" s="1">
        <f t="shared" si="1"/>
        <v>186376.65000000002</v>
      </c>
      <c r="G33" s="1">
        <v>187000</v>
      </c>
      <c r="H33" s="1">
        <v>185699.12</v>
      </c>
      <c r="I33" s="1">
        <v>140164.07999999999</v>
      </c>
      <c r="J33" s="12">
        <f t="shared" si="0"/>
        <v>1</v>
      </c>
    </row>
    <row r="34" spans="1:11">
      <c r="A34" s="11" t="s">
        <v>702</v>
      </c>
      <c r="B34" s="123">
        <v>500</v>
      </c>
      <c r="E34" s="1">
        <v>0</v>
      </c>
      <c r="F34" s="1">
        <f t="shared" si="1"/>
        <v>0</v>
      </c>
      <c r="G34" s="1">
        <v>500</v>
      </c>
      <c r="I34" s="1">
        <v>844.69</v>
      </c>
      <c r="J34" s="12">
        <f t="shared" si="0"/>
        <v>1</v>
      </c>
    </row>
    <row r="35" spans="1:11">
      <c r="A35" s="11" t="s">
        <v>703</v>
      </c>
      <c r="B35" s="56">
        <v>15500</v>
      </c>
      <c r="D35" s="35">
        <v>9212.1299999999992</v>
      </c>
      <c r="E35" s="1">
        <v>5922.1</v>
      </c>
      <c r="F35" s="1">
        <f t="shared" si="1"/>
        <v>15134.23</v>
      </c>
      <c r="G35" s="1">
        <v>14000</v>
      </c>
      <c r="H35" s="1">
        <v>15166.97</v>
      </c>
      <c r="I35" s="1">
        <v>11254.68</v>
      </c>
      <c r="J35" s="12">
        <f t="shared" si="0"/>
        <v>1.1071428571428572</v>
      </c>
    </row>
    <row r="36" spans="1:11">
      <c r="A36" s="11" t="s">
        <v>704</v>
      </c>
      <c r="B36" s="91">
        <v>0</v>
      </c>
      <c r="D36" s="35"/>
      <c r="E36" s="1">
        <v>0</v>
      </c>
      <c r="F36" s="1">
        <f t="shared" si="1"/>
        <v>0</v>
      </c>
      <c r="I36" s="1">
        <v>64.06</v>
      </c>
      <c r="J36" s="12"/>
    </row>
    <row r="37" spans="1:11">
      <c r="A37" s="11" t="s">
        <v>705</v>
      </c>
      <c r="B37" s="91">
        <v>14500</v>
      </c>
      <c r="D37" s="35"/>
      <c r="E37" s="1">
        <v>14500</v>
      </c>
      <c r="F37" s="1">
        <f t="shared" si="1"/>
        <v>14500</v>
      </c>
      <c r="G37" s="1">
        <v>14500</v>
      </c>
      <c r="H37" s="1">
        <v>14500</v>
      </c>
      <c r="I37" s="1">
        <v>14500</v>
      </c>
      <c r="J37" s="12">
        <f t="shared" si="0"/>
        <v>1</v>
      </c>
    </row>
    <row r="38" spans="1:11">
      <c r="A38" s="11" t="s">
        <v>706</v>
      </c>
      <c r="B38" s="112">
        <v>20940</v>
      </c>
      <c r="D38" s="35">
        <v>3554.7</v>
      </c>
      <c r="E38" s="1">
        <v>3626.02</v>
      </c>
      <c r="F38" s="1">
        <f t="shared" si="1"/>
        <v>7180.7199999999993</v>
      </c>
      <c r="G38" s="1">
        <v>9220</v>
      </c>
      <c r="H38" s="1">
        <v>7872.02</v>
      </c>
      <c r="I38" s="1">
        <v>7493.95</v>
      </c>
      <c r="J38" s="12">
        <f t="shared" si="0"/>
        <v>2.2711496746203905</v>
      </c>
    </row>
    <row r="39" spans="1:11">
      <c r="A39" s="11" t="s">
        <v>707</v>
      </c>
      <c r="B39" s="1">
        <v>800</v>
      </c>
      <c r="D39" s="35">
        <v>-34.880000000000003</v>
      </c>
      <c r="E39" s="1">
        <v>624.59</v>
      </c>
      <c r="F39" s="1">
        <f t="shared" si="1"/>
        <v>589.71</v>
      </c>
      <c r="G39" s="1">
        <v>1000</v>
      </c>
      <c r="H39" s="1">
        <v>762.94</v>
      </c>
      <c r="I39" s="1">
        <v>2103.1</v>
      </c>
      <c r="J39" s="12">
        <f t="shared" si="0"/>
        <v>0.8</v>
      </c>
    </row>
    <row r="40" spans="1:11">
      <c r="B40" s="13" t="s">
        <v>21</v>
      </c>
      <c r="D40" s="13" t="s">
        <v>21</v>
      </c>
      <c r="E40" s="13"/>
      <c r="F40" s="13" t="s">
        <v>21</v>
      </c>
      <c r="G40" s="13" t="s">
        <v>21</v>
      </c>
      <c r="H40" s="13" t="s">
        <v>21</v>
      </c>
      <c r="I40" s="13" t="s">
        <v>21</v>
      </c>
      <c r="J40" s="13" t="s">
        <v>21</v>
      </c>
    </row>
    <row r="41" spans="1:11">
      <c r="A41" s="11" t="s">
        <v>22</v>
      </c>
      <c r="B41" s="1">
        <f>SUM(B11:B39)</f>
        <v>-810</v>
      </c>
      <c r="C41" s="11"/>
      <c r="D41" s="1">
        <f>SUM(D11:D39)</f>
        <v>-85568.640000000029</v>
      </c>
      <c r="E41" s="1">
        <f>SUM(E11:E39)</f>
        <v>92935.690000000017</v>
      </c>
      <c r="F41" s="1">
        <f>SUM(F11:F39)</f>
        <v>7367.0500000000129</v>
      </c>
      <c r="G41" s="1">
        <v>-9630</v>
      </c>
      <c r="H41" s="1">
        <v>3579.5699999999601</v>
      </c>
      <c r="I41" s="1">
        <v>-193784.85</v>
      </c>
      <c r="J41" s="12">
        <f t="shared" si="0"/>
        <v>8.4112149532710276E-2</v>
      </c>
      <c r="K41" s="11"/>
    </row>
    <row r="42" spans="1:11">
      <c r="B42" s="13" t="s">
        <v>21</v>
      </c>
      <c r="D42" s="13" t="s">
        <v>21</v>
      </c>
      <c r="E42" s="13"/>
      <c r="F42" s="13" t="s">
        <v>21</v>
      </c>
      <c r="G42" s="13" t="s">
        <v>21</v>
      </c>
      <c r="H42" s="13" t="s">
        <v>21</v>
      </c>
      <c r="I42" s="13" t="s">
        <v>21</v>
      </c>
      <c r="J42" s="13" t="s">
        <v>21</v>
      </c>
    </row>
    <row r="43" spans="1:11">
      <c r="B43" s="1"/>
      <c r="E43" s="1">
        <f>3579.57+90352.84</f>
        <v>93932.41</v>
      </c>
    </row>
    <row r="44" spans="1:11">
      <c r="A44" s="86" t="s">
        <v>907</v>
      </c>
      <c r="F44" s="16"/>
    </row>
    <row r="45" spans="1:11">
      <c r="A45" s="86" t="s">
        <v>908</v>
      </c>
    </row>
  </sheetData>
  <mergeCells count="3">
    <mergeCell ref="A1:J1"/>
    <mergeCell ref="A2:J2"/>
    <mergeCell ref="A3:J3"/>
  </mergeCells>
  <phoneticPr fontId="0" type="noConversion"/>
  <pageMargins left="0.75" right="0.75" top="0.75" bottom="0.75" header="0.5" footer="0.5"/>
  <pageSetup orientation="portrait" r:id="rId1"/>
  <headerFooter alignWithMargins="0"/>
</worksheet>
</file>

<file path=xl/worksheets/sheet39.xml><?xml version="1.0" encoding="utf-8"?>
<worksheet xmlns="http://schemas.openxmlformats.org/spreadsheetml/2006/main" xmlns:r="http://schemas.openxmlformats.org/officeDocument/2006/relationships">
  <sheetPr>
    <pageSetUpPr fitToPage="1"/>
  </sheetPr>
  <dimension ref="A1:M28"/>
  <sheetViews>
    <sheetView workbookViewId="0">
      <pane ySplit="8" topLeftCell="A9" activePane="bottomLeft" state="frozenSplit"/>
      <selection pane="bottomLeft" activeCell="A37" sqref="A37"/>
    </sheetView>
  </sheetViews>
  <sheetFormatPr defaultColWidth="9.1640625" defaultRowHeight="12.75" outlineLevelCol="1"/>
  <cols>
    <col min="1" max="1" width="48.33203125" customWidth="1"/>
    <col min="2" max="2" width="14.5" customWidth="1"/>
    <col min="3" max="3" width="3.5" customWidth="1"/>
    <col min="4" max="5" width="14.5" style="1" hidden="1" customWidth="1" outlineLevel="1"/>
    <col min="6" max="6" width="13.5" style="1" customWidth="1" collapsed="1"/>
    <col min="7" max="9" width="14.5" style="1" customWidth="1"/>
    <col min="10" max="10" width="11" style="2" customWidth="1"/>
    <col min="11" max="11" width="55.5" customWidth="1"/>
  </cols>
  <sheetData>
    <row r="1" spans="1:13" ht="15">
      <c r="A1" s="125" t="s">
        <v>0</v>
      </c>
      <c r="B1" s="125"/>
      <c r="C1" s="125"/>
      <c r="D1" s="125"/>
      <c r="E1" s="125"/>
      <c r="F1" s="125"/>
      <c r="G1" s="125"/>
      <c r="H1" s="125"/>
      <c r="I1" s="125"/>
      <c r="J1" s="125"/>
      <c r="K1" s="4"/>
    </row>
    <row r="2" spans="1:13">
      <c r="A2" s="126" t="s">
        <v>979</v>
      </c>
      <c r="B2" s="126"/>
      <c r="C2" s="126"/>
      <c r="D2" s="126"/>
      <c r="E2" s="126"/>
      <c r="F2" s="126"/>
      <c r="G2" s="126"/>
      <c r="H2" s="126"/>
      <c r="I2" s="126"/>
      <c r="J2" s="126"/>
      <c r="K2" s="8"/>
    </row>
    <row r="3" spans="1:13">
      <c r="A3" s="126" t="s">
        <v>765</v>
      </c>
      <c r="B3" s="126"/>
      <c r="C3" s="126"/>
      <c r="D3" s="126"/>
      <c r="E3" s="126"/>
      <c r="F3" s="126"/>
      <c r="G3" s="126"/>
      <c r="H3" s="126"/>
      <c r="I3" s="126"/>
      <c r="J3" s="126"/>
      <c r="K3" s="8"/>
    </row>
    <row r="5" spans="1:13">
      <c r="B5" s="9" t="s">
        <v>941</v>
      </c>
      <c r="D5" s="42" t="s">
        <v>1</v>
      </c>
      <c r="E5" s="41" t="s">
        <v>760</v>
      </c>
      <c r="F5" s="43" t="s">
        <v>2</v>
      </c>
      <c r="J5" s="46" t="s">
        <v>8</v>
      </c>
    </row>
    <row r="6" spans="1:13">
      <c r="B6" s="9" t="s">
        <v>3</v>
      </c>
      <c r="D6" s="42" t="s">
        <v>761</v>
      </c>
      <c r="E6" s="41" t="s">
        <v>759</v>
      </c>
      <c r="F6" s="43" t="s">
        <v>4</v>
      </c>
      <c r="G6" s="10" t="s">
        <v>4</v>
      </c>
      <c r="H6" s="10" t="s">
        <v>5</v>
      </c>
      <c r="I6" s="10" t="s">
        <v>6</v>
      </c>
      <c r="J6" s="10" t="s">
        <v>774</v>
      </c>
      <c r="K6" s="9" t="s">
        <v>7</v>
      </c>
    </row>
    <row r="7" spans="1:13">
      <c r="B7" s="9" t="s">
        <v>8</v>
      </c>
      <c r="D7" s="42" t="s">
        <v>4</v>
      </c>
      <c r="E7" s="41" t="s">
        <v>5</v>
      </c>
      <c r="F7" s="43" t="s">
        <v>9</v>
      </c>
      <c r="G7" s="10" t="s">
        <v>8</v>
      </c>
      <c r="H7" s="10" t="s">
        <v>9</v>
      </c>
      <c r="I7" s="10" t="s">
        <v>9</v>
      </c>
      <c r="J7" s="10" t="s">
        <v>775</v>
      </c>
    </row>
    <row r="10" spans="1:13">
      <c r="A10" s="11" t="s">
        <v>10</v>
      </c>
    </row>
    <row r="11" spans="1:13">
      <c r="A11" s="11" t="s">
        <v>708</v>
      </c>
      <c r="B11" s="65">
        <v>-193600</v>
      </c>
      <c r="D11" s="35">
        <v>-193720.92</v>
      </c>
      <c r="E11" s="1">
        <v>36.090000000000003</v>
      </c>
      <c r="F11" s="1">
        <f>D11+E11</f>
        <v>-193684.83000000002</v>
      </c>
      <c r="G11" s="1">
        <v>-188000</v>
      </c>
      <c r="H11" s="1">
        <v>-187836.2</v>
      </c>
      <c r="I11" s="1">
        <v>-185542.76</v>
      </c>
      <c r="J11" s="12">
        <f t="shared" ref="J11:J24" si="0">B11/G11</f>
        <v>1.0297872340425531</v>
      </c>
    </row>
    <row r="12" spans="1:13">
      <c r="A12" s="11" t="s">
        <v>709</v>
      </c>
      <c r="B12" s="65">
        <v>2000</v>
      </c>
      <c r="D12" s="35"/>
      <c r="E12" s="1">
        <v>0</v>
      </c>
      <c r="F12" s="1">
        <f t="shared" ref="F12:F22" si="1">D12+E12</f>
        <v>0</v>
      </c>
      <c r="G12" s="1">
        <v>125</v>
      </c>
      <c r="J12" s="12">
        <f t="shared" si="0"/>
        <v>16</v>
      </c>
      <c r="M12">
        <f>F11*0.024</f>
        <v>-4648.4359200000008</v>
      </c>
    </row>
    <row r="13" spans="1:13">
      <c r="A13" s="11" t="s">
        <v>710</v>
      </c>
      <c r="B13" s="65">
        <v>50000</v>
      </c>
      <c r="D13" s="35">
        <v>21.26</v>
      </c>
      <c r="E13" s="1">
        <v>64517.7</v>
      </c>
      <c r="F13" s="1">
        <f t="shared" si="1"/>
        <v>64538.96</v>
      </c>
      <c r="G13" s="1">
        <v>40000</v>
      </c>
      <c r="H13" s="1">
        <v>64517.7</v>
      </c>
      <c r="I13" s="1">
        <v>45000</v>
      </c>
      <c r="J13" s="12">
        <f t="shared" si="0"/>
        <v>1.25</v>
      </c>
    </row>
    <row r="14" spans="1:13">
      <c r="A14" s="11" t="s">
        <v>711</v>
      </c>
      <c r="B14" s="65">
        <v>300</v>
      </c>
      <c r="D14" s="35">
        <v>282.39999999999998</v>
      </c>
      <c r="E14" s="1">
        <v>0</v>
      </c>
      <c r="F14" s="1">
        <f t="shared" si="1"/>
        <v>282.39999999999998</v>
      </c>
      <c r="J14" s="12"/>
    </row>
    <row r="15" spans="1:13">
      <c r="A15" s="11" t="s">
        <v>712</v>
      </c>
      <c r="B15" s="65">
        <v>55000</v>
      </c>
      <c r="D15" s="35">
        <v>1540</v>
      </c>
      <c r="E15" s="1">
        <v>22915.14</v>
      </c>
      <c r="F15" s="1">
        <f t="shared" si="1"/>
        <v>24455.14</v>
      </c>
      <c r="G15" s="1">
        <v>55000</v>
      </c>
      <c r="H15" s="1">
        <v>2915.14</v>
      </c>
      <c r="I15" s="1">
        <v>75000</v>
      </c>
      <c r="J15" s="12">
        <f t="shared" si="0"/>
        <v>1</v>
      </c>
    </row>
    <row r="16" spans="1:13">
      <c r="A16" s="11" t="s">
        <v>713</v>
      </c>
      <c r="B16" s="65">
        <v>2000</v>
      </c>
      <c r="D16" s="35">
        <v>79.09</v>
      </c>
      <c r="E16" s="1">
        <v>81.36</v>
      </c>
      <c r="F16" s="1">
        <f t="shared" si="1"/>
        <v>160.44999999999999</v>
      </c>
      <c r="H16" s="1">
        <v>81.36</v>
      </c>
      <c r="J16" s="12"/>
    </row>
    <row r="17" spans="1:11">
      <c r="A17" s="11" t="s">
        <v>714</v>
      </c>
      <c r="B17" s="65">
        <v>40000</v>
      </c>
      <c r="D17" s="35">
        <v>19738.88</v>
      </c>
      <c r="E17" s="1">
        <v>19504.939999999999</v>
      </c>
      <c r="F17" s="1">
        <f t="shared" si="1"/>
        <v>39243.82</v>
      </c>
      <c r="G17" s="1">
        <v>40000</v>
      </c>
      <c r="H17" s="1">
        <v>39009.879999999997</v>
      </c>
      <c r="I17" s="1">
        <v>40000</v>
      </c>
      <c r="J17" s="12">
        <f t="shared" si="0"/>
        <v>1</v>
      </c>
    </row>
    <row r="18" spans="1:11">
      <c r="A18" s="11" t="s">
        <v>715</v>
      </c>
      <c r="B18" s="65">
        <v>200</v>
      </c>
      <c r="E18" s="1">
        <v>305.10000000000002</v>
      </c>
      <c r="F18" s="1">
        <f t="shared" si="1"/>
        <v>305.10000000000002</v>
      </c>
      <c r="H18" s="1">
        <v>305.10000000000002</v>
      </c>
      <c r="J18" s="12"/>
    </row>
    <row r="19" spans="1:11">
      <c r="A19" s="11" t="s">
        <v>716</v>
      </c>
      <c r="B19" s="65">
        <v>0</v>
      </c>
      <c r="E19" s="1">
        <v>0</v>
      </c>
      <c r="F19" s="1">
        <f t="shared" si="1"/>
        <v>0</v>
      </c>
      <c r="I19" s="1">
        <v>128.37</v>
      </c>
      <c r="J19" s="12"/>
    </row>
    <row r="20" spans="1:11">
      <c r="A20" s="11" t="s">
        <v>717</v>
      </c>
      <c r="B20" s="65">
        <v>13000</v>
      </c>
      <c r="D20" s="35">
        <v>2074.64</v>
      </c>
      <c r="E20" s="1">
        <v>5211.12</v>
      </c>
      <c r="F20" s="1">
        <f t="shared" si="1"/>
        <v>7285.76</v>
      </c>
      <c r="G20" s="1">
        <v>12850</v>
      </c>
      <c r="H20" s="1">
        <v>9231.52</v>
      </c>
      <c r="I20" s="1">
        <v>10436.41</v>
      </c>
      <c r="J20" s="12">
        <f t="shared" si="0"/>
        <v>1.0116731517509727</v>
      </c>
    </row>
    <row r="21" spans="1:11">
      <c r="A21" s="11" t="s">
        <v>718</v>
      </c>
      <c r="B21" s="65">
        <v>1200</v>
      </c>
      <c r="D21" s="35">
        <v>154.85</v>
      </c>
      <c r="E21" s="1">
        <v>366.79</v>
      </c>
      <c r="F21" s="1">
        <f t="shared" si="1"/>
        <v>521.64</v>
      </c>
      <c r="G21" s="1">
        <v>1200</v>
      </c>
      <c r="H21" s="1">
        <v>666.12</v>
      </c>
      <c r="I21" s="1">
        <v>984.57</v>
      </c>
      <c r="J21" s="12">
        <f t="shared" si="0"/>
        <v>1</v>
      </c>
    </row>
    <row r="22" spans="1:11">
      <c r="A22" s="11" t="s">
        <v>719</v>
      </c>
      <c r="B22" s="115">
        <v>380</v>
      </c>
      <c r="D22" s="35">
        <v>833.94</v>
      </c>
      <c r="E22" s="1">
        <v>416.98</v>
      </c>
      <c r="F22" s="1">
        <f t="shared" si="1"/>
        <v>1250.92</v>
      </c>
      <c r="G22" s="1">
        <v>1250</v>
      </c>
      <c r="H22" s="1">
        <v>1250.92</v>
      </c>
      <c r="I22" s="1">
        <v>2001.3</v>
      </c>
      <c r="J22" s="12">
        <f t="shared" si="0"/>
        <v>0.30399999999999999</v>
      </c>
    </row>
    <row r="23" spans="1:11">
      <c r="B23" s="66" t="s">
        <v>21</v>
      </c>
      <c r="D23" s="13" t="s">
        <v>21</v>
      </c>
      <c r="E23" s="13"/>
      <c r="F23" s="13" t="s">
        <v>21</v>
      </c>
      <c r="G23" s="13" t="s">
        <v>21</v>
      </c>
      <c r="H23" s="13" t="s">
        <v>21</v>
      </c>
      <c r="I23" s="13" t="s">
        <v>21</v>
      </c>
      <c r="J23" s="13" t="s">
        <v>21</v>
      </c>
    </row>
    <row r="24" spans="1:11">
      <c r="A24" s="11" t="s">
        <v>22</v>
      </c>
      <c r="B24" s="65">
        <f>SUM(B11:B22)</f>
        <v>-29520</v>
      </c>
      <c r="C24" s="11"/>
      <c r="D24" s="1">
        <f>SUM(D11:D22)</f>
        <v>-168995.86</v>
      </c>
      <c r="E24" s="1">
        <f>SUM(E11:E22)</f>
        <v>113355.21999999999</v>
      </c>
      <c r="F24" s="1">
        <f>SUM(F11:F22)</f>
        <v>-55640.640000000036</v>
      </c>
      <c r="G24" s="1">
        <v>-37575</v>
      </c>
      <c r="H24" s="1">
        <v>-69858.460000000006</v>
      </c>
      <c r="I24" s="1">
        <v>-11992.11</v>
      </c>
      <c r="J24" s="12">
        <f t="shared" si="0"/>
        <v>0.78562874251497006</v>
      </c>
      <c r="K24" s="11"/>
    </row>
    <row r="25" spans="1:11">
      <c r="B25" s="13" t="s">
        <v>21</v>
      </c>
      <c r="D25" s="13" t="s">
        <v>21</v>
      </c>
      <c r="E25" s="13"/>
      <c r="F25" s="13" t="s">
        <v>21</v>
      </c>
      <c r="G25" s="13" t="s">
        <v>21</v>
      </c>
      <c r="H25" s="13" t="s">
        <v>21</v>
      </c>
      <c r="I25" s="13" t="s">
        <v>21</v>
      </c>
      <c r="J25" s="13" t="s">
        <v>21</v>
      </c>
    </row>
    <row r="26" spans="1:11">
      <c r="B26" s="62"/>
    </row>
    <row r="28" spans="1:11">
      <c r="A28" s="86" t="s">
        <v>909</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K44"/>
  <sheetViews>
    <sheetView workbookViewId="0">
      <pane ySplit="8" topLeftCell="A9" activePane="bottomLeft" state="frozenSplit"/>
      <selection pane="bottomLeft" activeCell="G40" sqref="G40"/>
    </sheetView>
  </sheetViews>
  <sheetFormatPr defaultColWidth="9.1640625" defaultRowHeight="12.75" outlineLevelCol="1"/>
  <cols>
    <col min="1" max="1" width="50.83203125" customWidth="1"/>
    <col min="2" max="2" width="14.5" customWidth="1"/>
    <col min="3" max="3" width="3.16406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944</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c r="B10" s="14"/>
      <c r="C10" s="40"/>
    </row>
    <row r="11" spans="1:11">
      <c r="A11" s="11" t="s">
        <v>68</v>
      </c>
      <c r="B11" s="1">
        <v>-800000</v>
      </c>
      <c r="C11" s="40"/>
      <c r="D11" s="35">
        <v>-456805.47</v>
      </c>
      <c r="E11" s="1">
        <v>-326766.82</v>
      </c>
      <c r="F11" s="1">
        <f>D11+E11</f>
        <v>-783572.29</v>
      </c>
      <c r="G11" s="1">
        <v>-770000</v>
      </c>
      <c r="H11" s="1">
        <v>-780089.9</v>
      </c>
      <c r="I11" s="1">
        <v>-703994.07</v>
      </c>
      <c r="J11" s="12">
        <f>B11/G11</f>
        <v>1.0389610389610389</v>
      </c>
    </row>
    <row r="12" spans="1:11">
      <c r="A12" s="11" t="s">
        <v>69</v>
      </c>
      <c r="B12" s="113">
        <v>-6000</v>
      </c>
      <c r="C12" s="39" t="s">
        <v>797</v>
      </c>
      <c r="D12" s="35">
        <v>-7345</v>
      </c>
      <c r="E12" s="1">
        <v>-8103.5</v>
      </c>
      <c r="F12" s="1">
        <f t="shared" ref="F12:F29" si="0">D12+E12</f>
        <v>-15448.5</v>
      </c>
      <c r="H12" s="1">
        <v>-8103.5</v>
      </c>
      <c r="I12" s="1">
        <v>-13484.2</v>
      </c>
      <c r="J12" s="12"/>
    </row>
    <row r="13" spans="1:11">
      <c r="A13" s="11" t="s">
        <v>70</v>
      </c>
      <c r="B13" s="1">
        <f>0.58*-B11</f>
        <v>463999.99999999994</v>
      </c>
      <c r="C13" s="40"/>
      <c r="D13" s="35">
        <v>278397.25</v>
      </c>
      <c r="E13" s="1">
        <v>200380.7</v>
      </c>
      <c r="F13" s="1">
        <f t="shared" si="0"/>
        <v>478777.95</v>
      </c>
      <c r="G13" s="1">
        <v>450600</v>
      </c>
      <c r="H13" s="1">
        <v>473091.62</v>
      </c>
      <c r="I13" s="1">
        <v>421528.87</v>
      </c>
      <c r="J13" s="12">
        <f t="shared" ref="J13:J31" si="1">B13/G13</f>
        <v>1.0297381269418551</v>
      </c>
    </row>
    <row r="14" spans="1:11">
      <c r="A14" s="11" t="s">
        <v>71</v>
      </c>
      <c r="B14" s="1">
        <f>B13*0.004</f>
        <v>1855.9999999999998</v>
      </c>
      <c r="C14" s="40"/>
      <c r="D14" s="35">
        <v>990.36</v>
      </c>
      <c r="E14" s="1">
        <v>0</v>
      </c>
      <c r="F14" s="1">
        <f t="shared" si="0"/>
        <v>990.36</v>
      </c>
      <c r="G14" s="1">
        <v>2000</v>
      </c>
      <c r="H14" s="1">
        <v>3196.36</v>
      </c>
      <c r="I14" s="1">
        <v>3318.96</v>
      </c>
      <c r="J14" s="12">
        <f t="shared" si="1"/>
        <v>0.92799999999999994</v>
      </c>
    </row>
    <row r="15" spans="1:11">
      <c r="A15" s="11" t="s">
        <v>72</v>
      </c>
      <c r="B15" s="1">
        <v>1100</v>
      </c>
      <c r="C15" s="40"/>
      <c r="D15" s="35">
        <v>1057.23</v>
      </c>
      <c r="E15" s="1">
        <v>-157.43</v>
      </c>
      <c r="F15" s="1">
        <f t="shared" si="0"/>
        <v>899.8</v>
      </c>
      <c r="G15" s="1">
        <v>1400</v>
      </c>
      <c r="H15" s="1">
        <v>784.58</v>
      </c>
      <c r="I15" s="1">
        <v>853.92</v>
      </c>
      <c r="J15" s="12">
        <f t="shared" si="1"/>
        <v>0.7857142857142857</v>
      </c>
    </row>
    <row r="16" spans="1:11">
      <c r="A16" s="11" t="s">
        <v>73</v>
      </c>
      <c r="B16" s="1">
        <v>1200</v>
      </c>
      <c r="C16" s="40"/>
      <c r="D16" s="35">
        <v>684.8</v>
      </c>
      <c r="E16" s="1">
        <v>370.7</v>
      </c>
      <c r="F16" s="1">
        <f t="shared" si="0"/>
        <v>1055.5</v>
      </c>
      <c r="G16" s="1">
        <v>1200</v>
      </c>
      <c r="H16" s="1">
        <v>1055.5</v>
      </c>
      <c r="I16" s="1">
        <v>1463.71</v>
      </c>
      <c r="J16" s="12">
        <f t="shared" si="1"/>
        <v>1</v>
      </c>
    </row>
    <row r="17" spans="1:11">
      <c r="A17" s="11" t="s">
        <v>74</v>
      </c>
      <c r="B17" s="1">
        <v>50</v>
      </c>
      <c r="C17" s="40"/>
      <c r="E17" s="1">
        <v>0</v>
      </c>
      <c r="F17" s="1">
        <f t="shared" si="0"/>
        <v>0</v>
      </c>
      <c r="G17" s="1">
        <v>50</v>
      </c>
      <c r="H17" s="1">
        <v>28.7</v>
      </c>
      <c r="I17" s="1">
        <v>10.45</v>
      </c>
      <c r="J17" s="12">
        <f t="shared" si="1"/>
        <v>1</v>
      </c>
    </row>
    <row r="18" spans="1:11">
      <c r="A18" s="11" t="s">
        <v>75</v>
      </c>
      <c r="B18" s="1">
        <v>1500</v>
      </c>
      <c r="C18" s="40"/>
      <c r="E18" s="1">
        <v>288.22000000000003</v>
      </c>
      <c r="F18" s="1">
        <f t="shared" si="0"/>
        <v>288.22000000000003</v>
      </c>
      <c r="G18" s="1">
        <v>2000</v>
      </c>
      <c r="H18" s="1">
        <v>1337.13</v>
      </c>
      <c r="I18" s="1">
        <v>1840.57</v>
      </c>
      <c r="J18" s="12">
        <f t="shared" si="1"/>
        <v>0.75</v>
      </c>
    </row>
    <row r="19" spans="1:11">
      <c r="A19" s="11" t="s">
        <v>76</v>
      </c>
      <c r="B19" s="1">
        <v>4000</v>
      </c>
      <c r="C19" s="40"/>
      <c r="D19" s="35">
        <v>925.95</v>
      </c>
      <c r="E19" s="1">
        <v>1232.8399999999999</v>
      </c>
      <c r="F19" s="1">
        <f t="shared" si="0"/>
        <v>2158.79</v>
      </c>
      <c r="G19" s="1">
        <v>4000</v>
      </c>
      <c r="H19" s="1">
        <v>2920.13</v>
      </c>
      <c r="I19" s="1">
        <v>4379.1000000000004</v>
      </c>
      <c r="J19" s="12">
        <f t="shared" si="1"/>
        <v>1</v>
      </c>
    </row>
    <row r="20" spans="1:11">
      <c r="A20" s="11" t="s">
        <v>77</v>
      </c>
      <c r="B20" s="113">
        <v>0</v>
      </c>
      <c r="C20" s="39" t="s">
        <v>798</v>
      </c>
      <c r="D20" s="35"/>
      <c r="E20" s="1">
        <v>70.94</v>
      </c>
      <c r="F20" s="1">
        <f t="shared" si="0"/>
        <v>70.94</v>
      </c>
      <c r="H20" s="1">
        <v>70.94</v>
      </c>
      <c r="J20" s="12"/>
    </row>
    <row r="21" spans="1:11">
      <c r="A21" s="11" t="s">
        <v>78</v>
      </c>
      <c r="B21" s="91">
        <v>1500</v>
      </c>
      <c r="C21" s="40"/>
      <c r="D21" s="35">
        <v>460</v>
      </c>
      <c r="E21" s="1">
        <v>0</v>
      </c>
      <c r="F21" s="1">
        <f t="shared" si="0"/>
        <v>460</v>
      </c>
      <c r="G21" s="1">
        <v>2000</v>
      </c>
      <c r="H21" s="1">
        <v>1254.43</v>
      </c>
      <c r="I21" s="1">
        <v>1491.9</v>
      </c>
      <c r="J21" s="12">
        <f t="shared" si="1"/>
        <v>0.75</v>
      </c>
    </row>
    <row r="22" spans="1:11">
      <c r="A22" s="11" t="s">
        <v>79</v>
      </c>
      <c r="B22" s="91">
        <v>10000</v>
      </c>
      <c r="C22" s="40"/>
      <c r="D22" s="35">
        <v>5680.27</v>
      </c>
      <c r="E22" s="1">
        <v>4674.53</v>
      </c>
      <c r="F22" s="1">
        <f t="shared" si="0"/>
        <v>10354.799999999999</v>
      </c>
      <c r="G22" s="1">
        <v>10000</v>
      </c>
      <c r="H22" s="1">
        <v>10747.63</v>
      </c>
      <c r="I22" s="1">
        <v>10507.39</v>
      </c>
      <c r="J22" s="12">
        <f t="shared" si="1"/>
        <v>1</v>
      </c>
    </row>
    <row r="23" spans="1:11">
      <c r="A23" s="11" t="s">
        <v>80</v>
      </c>
      <c r="B23" s="91">
        <v>1200</v>
      </c>
      <c r="C23" s="40"/>
      <c r="D23" s="35">
        <v>921.58</v>
      </c>
      <c r="E23" s="1">
        <v>0</v>
      </c>
      <c r="F23" s="1">
        <f t="shared" si="0"/>
        <v>921.58</v>
      </c>
      <c r="G23" s="1">
        <v>1200</v>
      </c>
      <c r="H23" s="1">
        <v>289.99</v>
      </c>
      <c r="I23" s="1">
        <v>825.69</v>
      </c>
      <c r="J23" s="12">
        <f t="shared" si="1"/>
        <v>1</v>
      </c>
    </row>
    <row r="24" spans="1:11">
      <c r="A24" s="11" t="s">
        <v>81</v>
      </c>
      <c r="B24" s="91">
        <v>200</v>
      </c>
      <c r="C24" s="40"/>
      <c r="E24" s="1">
        <v>0</v>
      </c>
      <c r="F24" s="1">
        <f t="shared" si="0"/>
        <v>0</v>
      </c>
      <c r="G24" s="1">
        <v>200</v>
      </c>
      <c r="H24" s="1">
        <v>142.13</v>
      </c>
      <c r="I24" s="1">
        <v>15.63</v>
      </c>
      <c r="J24" s="12">
        <f t="shared" si="1"/>
        <v>1</v>
      </c>
    </row>
    <row r="25" spans="1:11">
      <c r="A25" s="11" t="s">
        <v>82</v>
      </c>
      <c r="B25" s="91">
        <f>-B11*0.25</f>
        <v>200000</v>
      </c>
      <c r="C25" s="40"/>
      <c r="D25" s="35">
        <v>94443.5</v>
      </c>
      <c r="E25" s="1">
        <v>101515.36</v>
      </c>
      <c r="F25" s="1">
        <f t="shared" si="0"/>
        <v>195958.86</v>
      </c>
      <c r="G25" s="1">
        <v>175000</v>
      </c>
      <c r="H25" s="1">
        <v>189998.75</v>
      </c>
      <c r="I25" s="1">
        <v>157489.59</v>
      </c>
      <c r="J25" s="12">
        <f t="shared" si="1"/>
        <v>1.1428571428571428</v>
      </c>
    </row>
    <row r="26" spans="1:11">
      <c r="A26" s="11" t="s">
        <v>83</v>
      </c>
      <c r="B26" s="91">
        <v>15000</v>
      </c>
      <c r="C26" s="40"/>
      <c r="D26" s="35">
        <v>8606.2900000000009</v>
      </c>
      <c r="E26" s="1">
        <v>6387.58</v>
      </c>
      <c r="F26" s="1">
        <f t="shared" si="0"/>
        <v>14993.87</v>
      </c>
      <c r="G26" s="1">
        <v>16500</v>
      </c>
      <c r="H26" s="1">
        <v>14748.57</v>
      </c>
      <c r="I26" s="1">
        <v>11310.27</v>
      </c>
      <c r="J26" s="12">
        <f t="shared" si="1"/>
        <v>0.90909090909090906</v>
      </c>
    </row>
    <row r="27" spans="1:11">
      <c r="A27" s="11" t="s">
        <v>84</v>
      </c>
      <c r="B27" s="91">
        <v>10000</v>
      </c>
      <c r="C27" s="40"/>
      <c r="D27" s="35">
        <v>4922.51</v>
      </c>
      <c r="E27" s="1">
        <v>5311.59</v>
      </c>
      <c r="F27" s="1">
        <f t="shared" si="0"/>
        <v>10234.1</v>
      </c>
      <c r="G27" s="1">
        <v>8000</v>
      </c>
      <c r="H27" s="1">
        <v>9619.32</v>
      </c>
      <c r="I27" s="1">
        <v>6018.42</v>
      </c>
      <c r="J27" s="12">
        <f t="shared" si="1"/>
        <v>1.25</v>
      </c>
    </row>
    <row r="28" spans="1:11">
      <c r="A28" s="11" t="s">
        <v>85</v>
      </c>
      <c r="B28" s="91">
        <v>1000</v>
      </c>
      <c r="C28" s="40"/>
      <c r="D28" s="35">
        <v>-3.11</v>
      </c>
      <c r="E28" s="1">
        <v>358.01</v>
      </c>
      <c r="F28" s="1">
        <f t="shared" si="0"/>
        <v>354.9</v>
      </c>
      <c r="H28" s="1">
        <v>1387.23</v>
      </c>
      <c r="I28" s="1">
        <v>1125.78</v>
      </c>
      <c r="J28" s="12"/>
    </row>
    <row r="29" spans="1:11">
      <c r="A29" s="11" t="s">
        <v>86</v>
      </c>
      <c r="B29" s="112">
        <v>12300</v>
      </c>
      <c r="C29" s="39" t="s">
        <v>799</v>
      </c>
      <c r="D29" s="35">
        <v>2597.66</v>
      </c>
      <c r="E29" s="1">
        <v>8552.76</v>
      </c>
      <c r="F29" s="1">
        <f t="shared" si="0"/>
        <v>11150.42</v>
      </c>
      <c r="G29" s="1">
        <v>10740</v>
      </c>
      <c r="H29" s="1">
        <v>10628.58</v>
      </c>
      <c r="I29" s="1">
        <v>3688.96</v>
      </c>
      <c r="J29" s="12">
        <f t="shared" si="1"/>
        <v>1.1452513966480447</v>
      </c>
    </row>
    <row r="30" spans="1:11">
      <c r="B30" s="13" t="s">
        <v>21</v>
      </c>
      <c r="C30" s="40"/>
      <c r="D30" s="13" t="s">
        <v>21</v>
      </c>
      <c r="E30" s="13"/>
      <c r="F30" s="13" t="s">
        <v>21</v>
      </c>
      <c r="G30" s="13" t="s">
        <v>21</v>
      </c>
      <c r="H30" s="13" t="s">
        <v>21</v>
      </c>
      <c r="I30" s="13" t="s">
        <v>21</v>
      </c>
      <c r="J30" s="13" t="s">
        <v>21</v>
      </c>
    </row>
    <row r="31" spans="1:11">
      <c r="A31" s="11" t="s">
        <v>22</v>
      </c>
      <c r="B31" s="15">
        <f>SUM(B11:B29)</f>
        <v>-81094.000000000058</v>
      </c>
      <c r="C31" s="40"/>
      <c r="D31" s="1">
        <f>SUM(D11:D29)</f>
        <v>-64466.179999999993</v>
      </c>
      <c r="E31" s="1">
        <f>SUM(E11:E29)</f>
        <v>-5884.519999999975</v>
      </c>
      <c r="F31" s="1">
        <f>SUM(F11:F29)</f>
        <v>-70350.700000000114</v>
      </c>
      <c r="G31" s="1">
        <v>-85110</v>
      </c>
      <c r="H31" s="1">
        <v>-66891.81</v>
      </c>
      <c r="I31" s="1">
        <v>-91609.059999999794</v>
      </c>
      <c r="J31" s="12">
        <f t="shared" si="1"/>
        <v>0.95281400540477101</v>
      </c>
      <c r="K31" s="11"/>
    </row>
    <row r="32" spans="1:11">
      <c r="B32" s="13" t="s">
        <v>21</v>
      </c>
      <c r="C32" s="40"/>
      <c r="D32" s="13" t="s">
        <v>21</v>
      </c>
      <c r="E32" s="13"/>
      <c r="F32" s="13" t="s">
        <v>21</v>
      </c>
      <c r="G32" s="13" t="s">
        <v>21</v>
      </c>
      <c r="H32" s="13" t="s">
        <v>21</v>
      </c>
      <c r="I32" s="13" t="s">
        <v>21</v>
      </c>
      <c r="J32" s="13" t="s">
        <v>21</v>
      </c>
    </row>
    <row r="33" spans="1:6">
      <c r="A33" s="72"/>
      <c r="B33" s="14"/>
      <c r="C33" s="40"/>
    </row>
    <row r="34" spans="1:6">
      <c r="B34" s="14"/>
    </row>
    <row r="35" spans="1:6" ht="15">
      <c r="A35" s="73" t="s">
        <v>808</v>
      </c>
    </row>
    <row r="36" spans="1:6" ht="15">
      <c r="A36" s="73" t="s">
        <v>802</v>
      </c>
    </row>
    <row r="37" spans="1:6" ht="15">
      <c r="A37" s="73" t="s">
        <v>800</v>
      </c>
    </row>
    <row r="38" spans="1:6" ht="15">
      <c r="A38" s="73" t="s">
        <v>801</v>
      </c>
    </row>
    <row r="39" spans="1:6" ht="15">
      <c r="A39" s="73"/>
    </row>
    <row r="40" spans="1:6" ht="15">
      <c r="A40" s="73" t="s">
        <v>803</v>
      </c>
      <c r="F40" s="71"/>
    </row>
    <row r="41" spans="1:6" ht="15">
      <c r="A41" s="73" t="s">
        <v>806</v>
      </c>
    </row>
    <row r="42" spans="1:6" ht="15">
      <c r="A42" s="73" t="s">
        <v>807</v>
      </c>
    </row>
    <row r="43" spans="1:6" ht="15">
      <c r="A43" s="73" t="s">
        <v>804</v>
      </c>
    </row>
    <row r="44" spans="1:6" ht="15">
      <c r="A44" s="73" t="s">
        <v>805</v>
      </c>
    </row>
  </sheetData>
  <mergeCells count="3">
    <mergeCell ref="A1:J1"/>
    <mergeCell ref="A2:J2"/>
    <mergeCell ref="A3:J3"/>
  </mergeCells>
  <phoneticPr fontId="0" type="noConversion"/>
  <pageMargins left="0.75" right="0.75" top="0.75" bottom="0.75" header="0.5" footer="0.5"/>
  <pageSetup orientation="portrait" r:id="rId1"/>
  <headerFooter alignWithMargins="0"/>
</worksheet>
</file>

<file path=xl/worksheets/sheet40.xml><?xml version="1.0" encoding="utf-8"?>
<worksheet xmlns="http://schemas.openxmlformats.org/spreadsheetml/2006/main" xmlns:r="http://schemas.openxmlformats.org/officeDocument/2006/relationships">
  <sheetPr>
    <pageSetUpPr fitToPage="1"/>
  </sheetPr>
  <dimension ref="A1:K17"/>
  <sheetViews>
    <sheetView workbookViewId="0">
      <pane ySplit="8" topLeftCell="A9" activePane="bottomLeft" state="frozenSplit"/>
      <selection pane="bottomLeft" activeCell="B6" sqref="B6"/>
    </sheetView>
  </sheetViews>
  <sheetFormatPr defaultColWidth="9.1640625" defaultRowHeight="12.75"/>
  <cols>
    <col min="1" max="1" width="46.1640625" customWidth="1"/>
    <col min="2" max="2" width="14.5" customWidth="1"/>
    <col min="3" max="3" width="3.33203125" customWidth="1"/>
    <col min="4"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980</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727</v>
      </c>
      <c r="B11" s="1">
        <f>'SHP 2014-15 - Acct Detail'!B19</f>
        <v>-32750</v>
      </c>
      <c r="D11" s="1">
        <f>'SHP 2014-15 - Acct Detail'!D19</f>
        <v>-424731.19999999995</v>
      </c>
      <c r="E11" s="1">
        <f>'SHP 2014-15 - Acct Detail'!E19</f>
        <v>294412.42</v>
      </c>
      <c r="F11" s="1">
        <f>'SHP 2014-15 - Acct Detail'!F19</f>
        <v>-130318.77999999985</v>
      </c>
      <c r="G11" s="1">
        <v>-42000</v>
      </c>
      <c r="H11" s="1">
        <v>25385.38</v>
      </c>
      <c r="I11" s="1">
        <v>363719.59</v>
      </c>
      <c r="J11" s="12">
        <f>B11/G11</f>
        <v>0.77976190476190477</v>
      </c>
    </row>
    <row r="12" spans="1:11">
      <c r="A12" s="11" t="s">
        <v>720</v>
      </c>
      <c r="B12" s="1">
        <f>'SHP-INVEST - Acct Detail'!B13</f>
        <v>-25000</v>
      </c>
      <c r="D12" s="1">
        <f>'SHP-INVEST - Acct Detail'!D13</f>
        <v>0</v>
      </c>
      <c r="E12" s="1">
        <f>'SHP-INVEST - Acct Detail'!E13</f>
        <v>-34823.78</v>
      </c>
      <c r="F12" s="1">
        <f>'SHP-INVEST - Acct Detail'!F13</f>
        <v>-34823.78</v>
      </c>
      <c r="G12" s="1">
        <v>-18000</v>
      </c>
      <c r="H12" s="1">
        <v>-34823.78</v>
      </c>
      <c r="I12" s="1">
        <v>-33731.93</v>
      </c>
      <c r="J12" s="12">
        <f>B12/G12</f>
        <v>1.3888888888888888</v>
      </c>
    </row>
    <row r="13" spans="1:11">
      <c r="B13" s="13" t="s">
        <v>21</v>
      </c>
      <c r="D13" s="13" t="s">
        <v>21</v>
      </c>
      <c r="E13" s="13"/>
      <c r="F13" s="13" t="s">
        <v>21</v>
      </c>
      <c r="G13" s="13" t="s">
        <v>21</v>
      </c>
      <c r="H13" s="13" t="s">
        <v>21</v>
      </c>
      <c r="I13" s="13" t="s">
        <v>21</v>
      </c>
      <c r="J13" s="13" t="s">
        <v>21</v>
      </c>
    </row>
    <row r="14" spans="1:11">
      <c r="A14" s="11" t="s">
        <v>22</v>
      </c>
      <c r="B14" s="1">
        <f>SUM(B11:B13)</f>
        <v>-57750</v>
      </c>
      <c r="C14" s="11"/>
      <c r="D14" s="1">
        <f>SUM(D11:D12)</f>
        <v>-424731.19999999995</v>
      </c>
      <c r="E14" s="1">
        <f>SUM(E11:E12)</f>
        <v>259588.63999999998</v>
      </c>
      <c r="F14" s="1">
        <f>SUM(F11:F12)</f>
        <v>-165142.55999999985</v>
      </c>
      <c r="G14" s="1">
        <v>-60000</v>
      </c>
      <c r="H14" s="1">
        <v>-9438.3999999999705</v>
      </c>
      <c r="I14" s="1">
        <v>329987.65999999997</v>
      </c>
      <c r="J14" s="12">
        <f>B14/G14</f>
        <v>0.96250000000000002</v>
      </c>
      <c r="K14" s="11"/>
    </row>
    <row r="15" spans="1:11">
      <c r="B15" s="13" t="s">
        <v>21</v>
      </c>
      <c r="D15" s="13" t="s">
        <v>21</v>
      </c>
      <c r="E15" s="13"/>
      <c r="F15" s="13" t="s">
        <v>21</v>
      </c>
      <c r="G15" s="13" t="s">
        <v>21</v>
      </c>
      <c r="H15" s="13" t="s">
        <v>21</v>
      </c>
      <c r="I15" s="13" t="s">
        <v>21</v>
      </c>
      <c r="J15" s="13" t="s">
        <v>21</v>
      </c>
    </row>
    <row r="17" spans="5:5">
      <c r="E17" s="1">
        <f>352019.84-9438.4</f>
        <v>342581.44</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41.xml><?xml version="1.0" encoding="utf-8"?>
<worksheet xmlns="http://schemas.openxmlformats.org/spreadsheetml/2006/main" xmlns:r="http://schemas.openxmlformats.org/officeDocument/2006/relationships">
  <sheetPr>
    <pageSetUpPr fitToPage="1"/>
  </sheetPr>
  <dimension ref="A1:K76"/>
  <sheetViews>
    <sheetView workbookViewId="0">
      <pane ySplit="8" topLeftCell="A9" activePane="bottomLeft" state="frozenSplit"/>
      <selection pane="bottomLeft" activeCell="B6" sqref="B6"/>
    </sheetView>
  </sheetViews>
  <sheetFormatPr defaultColWidth="9.1640625" defaultRowHeight="12.75"/>
  <cols>
    <col min="1" max="1" width="52" customWidth="1"/>
    <col min="2" max="2" width="14.5" customWidth="1"/>
    <col min="3" max="3" width="4" customWidth="1"/>
    <col min="4" max="9" width="14.5" style="1" customWidth="1"/>
    <col min="10" max="10" width="10.1640625" style="2" customWidth="1"/>
    <col min="11" max="11" width="55.5" customWidth="1"/>
  </cols>
  <sheetData>
    <row r="1" spans="1:11" ht="15">
      <c r="A1" s="125" t="s">
        <v>0</v>
      </c>
      <c r="B1" s="125"/>
      <c r="C1" s="125"/>
      <c r="D1" s="125"/>
      <c r="E1" s="125"/>
      <c r="F1" s="125"/>
      <c r="G1" s="125"/>
      <c r="H1" s="125"/>
      <c r="I1" s="125"/>
      <c r="J1" s="125"/>
      <c r="K1" s="4"/>
    </row>
    <row r="2" spans="1:11">
      <c r="A2" s="126" t="s">
        <v>981</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81" t="s">
        <v>910</v>
      </c>
      <c r="B11" s="1">
        <v>-2300000</v>
      </c>
      <c r="D11" s="1">
        <f>-1312431.94</f>
        <v>-1312431.94</v>
      </c>
      <c r="E11" s="1">
        <f>437477-417700</f>
        <v>19777</v>
      </c>
      <c r="F11" s="1">
        <f>D11+E11</f>
        <v>-1292654.94</v>
      </c>
      <c r="G11" s="1">
        <v>-1245000</v>
      </c>
      <c r="H11" s="1">
        <f>-420-1150503.77</f>
        <v>-1150923.77</v>
      </c>
      <c r="I11" s="1">
        <f>-845-874150.49+56.71</f>
        <v>-874938.78</v>
      </c>
      <c r="J11" s="12">
        <f t="shared" ref="J11:J19" si="0">B11/G11</f>
        <v>1.8473895582329318</v>
      </c>
    </row>
    <row r="12" spans="1:11">
      <c r="A12" s="81" t="s">
        <v>911</v>
      </c>
      <c r="B12" s="1">
        <v>750</v>
      </c>
      <c r="D12" s="1">
        <f>652.19</f>
        <v>652.19000000000005</v>
      </c>
      <c r="E12" s="1">
        <v>-5821.39</v>
      </c>
      <c r="F12" s="1">
        <f t="shared" ref="F12:F17" si="1">D12+E12</f>
        <v>-5169.2000000000007</v>
      </c>
      <c r="H12" s="1">
        <v>147.5</v>
      </c>
      <c r="I12" s="1">
        <v>528</v>
      </c>
      <c r="J12" s="12"/>
    </row>
    <row r="13" spans="1:11">
      <c r="A13" s="81" t="s">
        <v>912</v>
      </c>
      <c r="B13" s="1">
        <f>-B11*0.63</f>
        <v>1449000</v>
      </c>
      <c r="D13" s="1">
        <f>529862.93</f>
        <v>529862.93000000005</v>
      </c>
      <c r="E13" s="38">
        <v>267830.89</v>
      </c>
      <c r="F13" s="1">
        <f t="shared" si="1"/>
        <v>797693.82000000007</v>
      </c>
      <c r="G13" s="1">
        <v>863000</v>
      </c>
      <c r="H13" s="1">
        <v>843235.29</v>
      </c>
      <c r="I13" s="1">
        <f>281217.84+570289.64-5313.61</f>
        <v>846193.87</v>
      </c>
      <c r="J13" s="12">
        <f t="shared" si="0"/>
        <v>1.679026651216686</v>
      </c>
    </row>
    <row r="14" spans="1:11">
      <c r="A14" s="11" t="s">
        <v>721</v>
      </c>
      <c r="B14" s="1">
        <v>0</v>
      </c>
      <c r="E14" s="1">
        <v>0</v>
      </c>
      <c r="F14" s="1">
        <f t="shared" si="1"/>
        <v>0</v>
      </c>
      <c r="I14" s="1">
        <v>17211.88</v>
      </c>
      <c r="J14" s="12"/>
    </row>
    <row r="15" spans="1:11">
      <c r="A15" s="81" t="s">
        <v>913</v>
      </c>
      <c r="B15" s="1">
        <v>12500</v>
      </c>
      <c r="E15" s="1">
        <v>12500</v>
      </c>
      <c r="F15" s="1">
        <f t="shared" si="1"/>
        <v>12500</v>
      </c>
      <c r="G15" s="1">
        <v>6000</v>
      </c>
      <c r="H15" s="1">
        <v>14714.52</v>
      </c>
      <c r="I15" s="1">
        <f>58168.97+18681.7</f>
        <v>76850.67</v>
      </c>
      <c r="J15" s="12">
        <f t="shared" si="0"/>
        <v>2.0833333333333335</v>
      </c>
    </row>
    <row r="16" spans="1:11">
      <c r="A16" s="81" t="s">
        <v>914</v>
      </c>
      <c r="B16" s="1">
        <v>0</v>
      </c>
      <c r="E16" s="1">
        <v>12.5</v>
      </c>
      <c r="F16" s="1">
        <f t="shared" si="1"/>
        <v>12.5</v>
      </c>
      <c r="H16" s="1">
        <v>12.5</v>
      </c>
      <c r="I16" s="1">
        <v>-72.81</v>
      </c>
      <c r="J16" s="12"/>
    </row>
    <row r="17" spans="1:11">
      <c r="A17" s="81" t="s">
        <v>915</v>
      </c>
      <c r="B17" s="1">
        <f>-B11*0.35</f>
        <v>805000</v>
      </c>
      <c r="D17" s="1">
        <f>356955.62+230</f>
        <v>357185.62</v>
      </c>
      <c r="E17" s="1">
        <v>113.42</v>
      </c>
      <c r="F17" s="1">
        <f t="shared" si="1"/>
        <v>357299.04</v>
      </c>
      <c r="G17" s="1">
        <v>334000</v>
      </c>
      <c r="H17" s="1">
        <f>226.84+317972.5</f>
        <v>318199.34000000003</v>
      </c>
      <c r="I17" s="1">
        <f>5550+292396.76</f>
        <v>297946.76</v>
      </c>
      <c r="J17" s="12">
        <f t="shared" si="0"/>
        <v>2.4101796407185629</v>
      </c>
    </row>
    <row r="18" spans="1:11">
      <c r="B18" s="13" t="s">
        <v>21</v>
      </c>
      <c r="D18" s="13" t="s">
        <v>21</v>
      </c>
      <c r="E18" s="13"/>
      <c r="F18" s="13" t="s">
        <v>21</v>
      </c>
      <c r="G18" s="13" t="s">
        <v>21</v>
      </c>
      <c r="H18" s="13" t="s">
        <v>21</v>
      </c>
      <c r="I18" s="13" t="s">
        <v>21</v>
      </c>
      <c r="J18" s="13" t="s">
        <v>21</v>
      </c>
    </row>
    <row r="19" spans="1:11">
      <c r="A19" s="11" t="s">
        <v>22</v>
      </c>
      <c r="B19" s="1">
        <f>SUM(B11:B17)</f>
        <v>-32750</v>
      </c>
      <c r="C19" s="11"/>
      <c r="D19" s="1">
        <f>SUM(D11:D17)</f>
        <v>-424731.19999999995</v>
      </c>
      <c r="E19" s="1">
        <f>SUM(E11:E17)</f>
        <v>294412.42</v>
      </c>
      <c r="F19" s="1">
        <f>SUM(F11:F17)</f>
        <v>-130318.77999999985</v>
      </c>
      <c r="G19" s="1">
        <v>-42000</v>
      </c>
      <c r="H19" s="1">
        <v>25385.38</v>
      </c>
      <c r="I19" s="1">
        <v>363719.59</v>
      </c>
      <c r="J19" s="12">
        <f t="shared" si="0"/>
        <v>0.77976190476190477</v>
      </c>
      <c r="K19" s="11"/>
    </row>
    <row r="20" spans="1:11">
      <c r="B20" s="13" t="s">
        <v>21</v>
      </c>
      <c r="D20" s="13" t="s">
        <v>21</v>
      </c>
      <c r="E20" s="13"/>
      <c r="F20" s="13" t="s">
        <v>21</v>
      </c>
      <c r="G20" s="13" t="s">
        <v>21</v>
      </c>
      <c r="H20" s="13" t="s">
        <v>21</v>
      </c>
      <c r="I20" s="13" t="s">
        <v>21</v>
      </c>
      <c r="J20" s="13" t="s">
        <v>21</v>
      </c>
    </row>
    <row r="21" spans="1:11">
      <c r="F21" s="1">
        <f>SUM(F11:F17)</f>
        <v>-130318.77999999985</v>
      </c>
    </row>
    <row r="22" spans="1:11">
      <c r="E22" s="1" t="s">
        <v>767</v>
      </c>
      <c r="F22" s="1">
        <f>F13+F17</f>
        <v>1154992.8600000001</v>
      </c>
    </row>
    <row r="23" spans="1:11">
      <c r="A23" s="11"/>
      <c r="F23" s="1">
        <f>F22/21000</f>
        <v>54.999660000000006</v>
      </c>
    </row>
    <row r="24" spans="1:11">
      <c r="A24" s="11"/>
      <c r="J24" s="12"/>
    </row>
    <row r="25" spans="1:11">
      <c r="A25" s="17" t="s">
        <v>730</v>
      </c>
      <c r="B25" s="18" t="s">
        <v>731</v>
      </c>
      <c r="D25" s="18" t="s">
        <v>744</v>
      </c>
      <c r="E25" s="33"/>
      <c r="F25" s="18" t="s">
        <v>749</v>
      </c>
      <c r="G25" s="18" t="s">
        <v>750</v>
      </c>
      <c r="H25" s="28" t="s">
        <v>751</v>
      </c>
      <c r="I25" s="28" t="s">
        <v>752</v>
      </c>
      <c r="J25" s="12"/>
    </row>
    <row r="26" spans="1:11">
      <c r="A26" s="17" t="s">
        <v>732</v>
      </c>
      <c r="B26" s="19">
        <f>2</f>
        <v>2</v>
      </c>
      <c r="D26" s="21">
        <v>55.65</v>
      </c>
      <c r="E26" s="21"/>
      <c r="F26" s="21"/>
      <c r="G26" s="21">
        <f>B26*D26</f>
        <v>111.3</v>
      </c>
      <c r="H26" s="21"/>
      <c r="I26" s="21">
        <f t="shared" ref="I26:I31" si="2">SUM(G26:H26)</f>
        <v>111.3</v>
      </c>
      <c r="J26" s="12"/>
    </row>
    <row r="27" spans="1:11">
      <c r="A27" s="17" t="s">
        <v>733</v>
      </c>
      <c r="B27" s="19">
        <f>103+32</f>
        <v>135</v>
      </c>
      <c r="D27" s="21">
        <v>55.65</v>
      </c>
      <c r="E27" s="21"/>
      <c r="F27" s="21">
        <v>111.3</v>
      </c>
      <c r="G27" s="21">
        <f>B27*D27</f>
        <v>7512.75</v>
      </c>
      <c r="H27" s="21">
        <f>B27*F27</f>
        <v>15025.5</v>
      </c>
      <c r="I27" s="21">
        <f t="shared" si="2"/>
        <v>22538.25</v>
      </c>
      <c r="J27" s="12"/>
    </row>
    <row r="28" spans="1:11">
      <c r="A28" s="17" t="s">
        <v>734</v>
      </c>
      <c r="B28" s="19">
        <f>5</f>
        <v>5</v>
      </c>
      <c r="D28" s="21"/>
      <c r="E28" s="21"/>
      <c r="F28" s="21">
        <v>111.3</v>
      </c>
      <c r="G28" s="21"/>
      <c r="H28" s="21">
        <f>B28*F28</f>
        <v>556.5</v>
      </c>
      <c r="I28" s="21">
        <f t="shared" si="2"/>
        <v>556.5</v>
      </c>
      <c r="J28" s="12"/>
    </row>
    <row r="29" spans="1:11">
      <c r="A29" s="17" t="s">
        <v>735</v>
      </c>
      <c r="B29" s="19">
        <f>32</f>
        <v>32</v>
      </c>
      <c r="D29" s="21">
        <v>58.08</v>
      </c>
      <c r="E29" s="21">
        <v>32</v>
      </c>
      <c r="F29" s="21"/>
      <c r="G29" s="21">
        <f>B29*D29</f>
        <v>1858.56</v>
      </c>
      <c r="H29" s="21"/>
      <c r="I29" s="21">
        <f t="shared" si="2"/>
        <v>1858.56</v>
      </c>
      <c r="J29" s="13"/>
    </row>
    <row r="30" spans="1:11">
      <c r="A30" s="17" t="s">
        <v>736</v>
      </c>
      <c r="B30" s="19">
        <f>3221+947</f>
        <v>4168</v>
      </c>
      <c r="C30" s="11"/>
      <c r="D30" s="21">
        <v>58.08</v>
      </c>
      <c r="E30" s="21">
        <v>18.5</v>
      </c>
      <c r="F30" s="21">
        <v>116.15</v>
      </c>
      <c r="G30" s="21">
        <f>B30*D30</f>
        <v>242077.44</v>
      </c>
      <c r="H30" s="21">
        <f>B30*F30</f>
        <v>484113.2</v>
      </c>
      <c r="I30" s="21">
        <f t="shared" si="2"/>
        <v>726190.64</v>
      </c>
      <c r="J30" s="12"/>
    </row>
    <row r="31" spans="1:11">
      <c r="A31" s="17" t="s">
        <v>737</v>
      </c>
      <c r="B31" s="19">
        <f>124+48</f>
        <v>172</v>
      </c>
      <c r="D31" s="21">
        <f>E33*0.95</f>
        <v>104.4525</v>
      </c>
      <c r="E31" s="21">
        <f>D30*1.024</f>
        <v>59.47392</v>
      </c>
      <c r="F31" s="21">
        <v>116.15</v>
      </c>
      <c r="G31" s="21"/>
      <c r="H31" s="21">
        <f>B31*F31</f>
        <v>19977.8</v>
      </c>
      <c r="I31" s="21">
        <f t="shared" si="2"/>
        <v>19977.8</v>
      </c>
      <c r="J31" s="13"/>
    </row>
    <row r="32" spans="1:11">
      <c r="A32" s="17"/>
      <c r="B32" s="20">
        <f>SUM(B26:B31)</f>
        <v>4514</v>
      </c>
      <c r="D32" s="21">
        <f>D31-58</f>
        <v>46.452500000000001</v>
      </c>
      <c r="E32" s="21">
        <f>SUM(E29:E31)</f>
        <v>109.97391999999999</v>
      </c>
      <c r="F32" s="21"/>
      <c r="G32" s="29">
        <f>SUM(G26:G31)</f>
        <v>251560.05</v>
      </c>
      <c r="H32" s="29">
        <f>SUM(H26:H31)</f>
        <v>519673</v>
      </c>
      <c r="I32" s="29">
        <f>SUM(I26:I31)</f>
        <v>771233.05</v>
      </c>
    </row>
    <row r="33" spans="1:10">
      <c r="A33" s="17"/>
      <c r="B33" s="21"/>
      <c r="D33" s="21"/>
      <c r="E33" s="21">
        <v>109.95</v>
      </c>
      <c r="F33" s="30"/>
      <c r="G33" s="21"/>
      <c r="H33" s="17"/>
      <c r="I33" s="17"/>
    </row>
    <row r="34" spans="1:10">
      <c r="A34" s="17"/>
      <c r="B34" s="17"/>
      <c r="D34" s="17"/>
      <c r="E34" s="17"/>
      <c r="F34" s="17"/>
      <c r="G34" s="17"/>
      <c r="H34" s="17"/>
      <c r="I34" s="17"/>
    </row>
    <row r="35" spans="1:10">
      <c r="A35" s="17"/>
      <c r="B35" s="17"/>
      <c r="D35" s="17"/>
      <c r="E35" s="17"/>
      <c r="F35" s="17"/>
      <c r="G35" s="17"/>
      <c r="H35" s="17"/>
      <c r="I35" s="17"/>
    </row>
    <row r="36" spans="1:10">
      <c r="A36" s="17" t="s">
        <v>738</v>
      </c>
      <c r="B36" s="18" t="s">
        <v>731</v>
      </c>
      <c r="D36" s="18" t="s">
        <v>744</v>
      </c>
      <c r="E36" s="33"/>
      <c r="F36" s="18" t="s">
        <v>749</v>
      </c>
      <c r="G36" s="18" t="s">
        <v>750</v>
      </c>
      <c r="H36" s="28" t="s">
        <v>751</v>
      </c>
      <c r="I36" s="28" t="s">
        <v>752</v>
      </c>
      <c r="J36" s="12"/>
    </row>
    <row r="37" spans="1:10">
      <c r="A37" s="17" t="s">
        <v>732</v>
      </c>
      <c r="B37" s="19">
        <v>0</v>
      </c>
      <c r="D37" s="21">
        <v>55.65</v>
      </c>
      <c r="E37" s="21"/>
      <c r="F37" s="21"/>
      <c r="G37" s="21">
        <f>B37*D37</f>
        <v>0</v>
      </c>
      <c r="H37" s="21"/>
      <c r="I37" s="21">
        <f t="shared" ref="I37:I42" si="3">SUM(G37:H37)</f>
        <v>0</v>
      </c>
      <c r="J37" s="12"/>
    </row>
    <row r="38" spans="1:10">
      <c r="A38" s="17" t="s">
        <v>733</v>
      </c>
      <c r="B38" s="19">
        <f>48+31</f>
        <v>79</v>
      </c>
      <c r="D38" s="21">
        <v>55.65</v>
      </c>
      <c r="E38" s="21"/>
      <c r="F38" s="21">
        <v>111.3</v>
      </c>
      <c r="G38" s="21">
        <f>B38*D38</f>
        <v>4396.3499999999995</v>
      </c>
      <c r="H38" s="21">
        <f>B38*F38</f>
        <v>8792.6999999999989</v>
      </c>
      <c r="I38" s="21">
        <f t="shared" si="3"/>
        <v>13189.05</v>
      </c>
      <c r="J38" s="12"/>
    </row>
    <row r="39" spans="1:10">
      <c r="A39" s="17" t="s">
        <v>734</v>
      </c>
      <c r="B39" s="19">
        <f>3</f>
        <v>3</v>
      </c>
      <c r="D39" s="21"/>
      <c r="E39" s="21"/>
      <c r="F39" s="21">
        <v>111.3</v>
      </c>
      <c r="G39" s="21"/>
      <c r="H39" s="21">
        <f>B39*F39</f>
        <v>333.9</v>
      </c>
      <c r="I39" s="21">
        <f t="shared" si="3"/>
        <v>333.9</v>
      </c>
      <c r="J39" s="12"/>
    </row>
    <row r="40" spans="1:10">
      <c r="A40" s="17" t="s">
        <v>735</v>
      </c>
      <c r="B40" s="19">
        <f>14+5</f>
        <v>19</v>
      </c>
      <c r="D40" s="21">
        <v>58.08</v>
      </c>
      <c r="E40" s="21"/>
      <c r="F40" s="21"/>
      <c r="G40" s="21">
        <f>B40*D40</f>
        <v>1103.52</v>
      </c>
      <c r="H40" s="21"/>
      <c r="I40" s="21">
        <f t="shared" si="3"/>
        <v>1103.52</v>
      </c>
      <c r="J40" s="12"/>
    </row>
    <row r="41" spans="1:10">
      <c r="A41" s="17" t="s">
        <v>736</v>
      </c>
      <c r="B41" s="19">
        <f>1332+383</f>
        <v>1715</v>
      </c>
      <c r="D41" s="21">
        <v>58.08</v>
      </c>
      <c r="E41" s="21"/>
      <c r="F41" s="21">
        <v>116.15</v>
      </c>
      <c r="G41" s="21">
        <f>B41*D41</f>
        <v>99607.2</v>
      </c>
      <c r="H41" s="21">
        <f>B41*F41</f>
        <v>199197.25</v>
      </c>
      <c r="I41" s="21">
        <f t="shared" si="3"/>
        <v>298804.45</v>
      </c>
      <c r="J41" s="13"/>
    </row>
    <row r="42" spans="1:10">
      <c r="A42" s="17" t="s">
        <v>737</v>
      </c>
      <c r="B42" s="19">
        <f>28+9</f>
        <v>37</v>
      </c>
      <c r="C42" s="11"/>
      <c r="D42" s="21"/>
      <c r="E42" s="21"/>
      <c r="F42" s="21">
        <v>116.15</v>
      </c>
      <c r="G42" s="21"/>
      <c r="H42" s="21">
        <f>B42*F42</f>
        <v>4297.55</v>
      </c>
      <c r="I42" s="21">
        <f t="shared" si="3"/>
        <v>4297.55</v>
      </c>
      <c r="J42" s="12"/>
    </row>
    <row r="43" spans="1:10">
      <c r="A43" s="17"/>
      <c r="B43" s="20">
        <f>SUM(B37:B42)</f>
        <v>1853</v>
      </c>
      <c r="D43" s="21"/>
      <c r="E43" s="21"/>
      <c r="F43" s="21"/>
      <c r="G43" s="29">
        <f>SUM(G37:G42)</f>
        <v>105107.06999999999</v>
      </c>
      <c r="H43" s="29">
        <f>SUM(H37:H42)</f>
        <v>212621.4</v>
      </c>
      <c r="I43" s="29">
        <f>SUM(I37:I42)</f>
        <v>317728.46999999997</v>
      </c>
      <c r="J43" s="13"/>
    </row>
    <row r="44" spans="1:10">
      <c r="A44" s="17"/>
      <c r="B44" s="21"/>
      <c r="D44" s="21"/>
      <c r="E44" s="21"/>
      <c r="F44" s="21"/>
      <c r="G44" s="21"/>
      <c r="H44" s="21"/>
      <c r="I44" s="21"/>
    </row>
    <row r="45" spans="1:10">
      <c r="A45" s="17"/>
      <c r="B45" s="21"/>
      <c r="D45" s="21"/>
      <c r="E45" s="21"/>
      <c r="F45" s="21"/>
      <c r="G45" s="21"/>
      <c r="H45" s="21"/>
      <c r="I45" s="21"/>
    </row>
    <row r="46" spans="1:10">
      <c r="A46" s="22" t="s">
        <v>739</v>
      </c>
      <c r="B46" s="23">
        <f>B32+B43</f>
        <v>6367</v>
      </c>
      <c r="D46" s="21"/>
      <c r="E46" s="21"/>
      <c r="F46" s="21"/>
      <c r="G46" s="23">
        <f>G32+G43</f>
        <v>356667.12</v>
      </c>
      <c r="H46" s="23">
        <f>H32+H43</f>
        <v>732294.4</v>
      </c>
      <c r="I46" s="23">
        <f>I32+I43</f>
        <v>1088961.52</v>
      </c>
    </row>
    <row r="47" spans="1:10">
      <c r="A47" s="17"/>
      <c r="B47" s="19"/>
      <c r="D47" s="21"/>
      <c r="E47" s="21"/>
      <c r="F47" s="21"/>
      <c r="G47" s="21"/>
      <c r="H47" s="21"/>
      <c r="I47" s="21"/>
    </row>
    <row r="48" spans="1:10">
      <c r="A48" s="24" t="s">
        <v>740</v>
      </c>
      <c r="B48" s="19">
        <v>21780</v>
      </c>
      <c r="D48" s="21"/>
      <c r="E48" s="21"/>
      <c r="F48" s="21"/>
      <c r="G48" s="21"/>
      <c r="H48" s="21"/>
      <c r="I48" s="21"/>
    </row>
    <row r="49" spans="1:9">
      <c r="A49" s="17"/>
      <c r="B49" s="19"/>
      <c r="D49" s="127" t="s">
        <v>753</v>
      </c>
      <c r="E49" s="127"/>
      <c r="F49" s="127"/>
      <c r="G49" s="21"/>
      <c r="H49" s="21"/>
      <c r="I49" s="21"/>
    </row>
    <row r="50" spans="1:9">
      <c r="A50" s="24" t="s">
        <v>741</v>
      </c>
      <c r="B50" s="19">
        <f>B48-B46</f>
        <v>15413</v>
      </c>
      <c r="D50" s="21">
        <v>50.31</v>
      </c>
      <c r="E50" s="21"/>
      <c r="F50" s="21">
        <v>106.95</v>
      </c>
      <c r="G50" s="21">
        <f>B50*D50</f>
        <v>775428.03</v>
      </c>
      <c r="H50" s="21">
        <f>B50*F50</f>
        <v>1648420.35</v>
      </c>
      <c r="I50" s="21">
        <f>SUM(G50:H50)</f>
        <v>2423848.38</v>
      </c>
    </row>
    <row r="51" spans="1:9">
      <c r="A51" s="24" t="s">
        <v>742</v>
      </c>
      <c r="B51" s="19"/>
      <c r="D51" s="21"/>
      <c r="E51" s="21"/>
      <c r="F51" s="21"/>
      <c r="G51" s="21">
        <f>G50/3</f>
        <v>258476.01</v>
      </c>
      <c r="H51" s="21">
        <f>H50/3</f>
        <v>549473.45000000007</v>
      </c>
      <c r="I51" s="21">
        <f>SUM(G51:H51)</f>
        <v>807949.46000000008</v>
      </c>
    </row>
    <row r="52" spans="1:9">
      <c r="A52" s="24" t="s">
        <v>743</v>
      </c>
      <c r="B52" s="19"/>
      <c r="D52" s="21"/>
      <c r="E52" s="21"/>
      <c r="F52" s="21"/>
      <c r="G52" s="21">
        <f>G50/3</f>
        <v>258476.01</v>
      </c>
      <c r="H52" s="21">
        <f>H50/3</f>
        <v>549473.45000000007</v>
      </c>
      <c r="I52" s="21">
        <f>SUM(G52:H52)</f>
        <v>807949.46000000008</v>
      </c>
    </row>
    <row r="53" spans="1:9">
      <c r="A53" s="24" t="s">
        <v>758</v>
      </c>
      <c r="B53" s="19"/>
      <c r="D53" s="21"/>
      <c r="E53" s="21"/>
      <c r="F53" s="21"/>
      <c r="G53" s="21">
        <v>313639.18</v>
      </c>
      <c r="H53" s="21">
        <v>657827.11</v>
      </c>
      <c r="I53" s="21">
        <f>SUM(G53:H53)</f>
        <v>971466.29</v>
      </c>
    </row>
    <row r="54" spans="1:9">
      <c r="A54" s="17"/>
      <c r="B54" s="19"/>
      <c r="D54" s="21"/>
      <c r="E54" s="21"/>
      <c r="F54" s="21"/>
      <c r="G54" s="31">
        <f>SUM(G51:G53)</f>
        <v>830591.2</v>
      </c>
      <c r="H54" s="31">
        <f>SUM(H51:H53)</f>
        <v>1756774.0100000002</v>
      </c>
      <c r="I54" s="31">
        <f>SUM(I51:I53)</f>
        <v>2587365.21</v>
      </c>
    </row>
    <row r="55" spans="1:9">
      <c r="A55" s="17"/>
      <c r="B55" s="21"/>
      <c r="D55" s="21"/>
      <c r="E55" s="21"/>
      <c r="F55" s="21"/>
      <c r="G55" s="21"/>
      <c r="H55" s="21"/>
      <c r="I55" s="21"/>
    </row>
    <row r="56" spans="1:9">
      <c r="A56" s="17"/>
      <c r="B56" s="19"/>
      <c r="D56" s="32" t="s">
        <v>754</v>
      </c>
      <c r="E56" s="32"/>
      <c r="F56" s="32"/>
      <c r="G56" s="21"/>
      <c r="H56" s="21"/>
      <c r="I56" s="21"/>
    </row>
    <row r="57" spans="1:9">
      <c r="A57" s="24" t="s">
        <v>741</v>
      </c>
      <c r="B57" s="19">
        <f>B50</f>
        <v>15413</v>
      </c>
      <c r="D57" s="21">
        <v>52.83</v>
      </c>
      <c r="E57" s="21"/>
      <c r="F57" s="21">
        <v>112.3</v>
      </c>
      <c r="G57" s="21">
        <f>B57*D57</f>
        <v>814268.78999999992</v>
      </c>
      <c r="H57" s="21">
        <f>B57*F57</f>
        <v>1730879.9</v>
      </c>
      <c r="I57" s="21">
        <f>SUM(G57:H57)</f>
        <v>2545148.69</v>
      </c>
    </row>
    <row r="58" spans="1:9">
      <c r="A58" s="24" t="s">
        <v>742</v>
      </c>
      <c r="B58" s="19"/>
      <c r="D58" s="21"/>
      <c r="E58" s="21"/>
      <c r="F58" s="21"/>
      <c r="G58" s="21">
        <f>G57/3</f>
        <v>271422.93</v>
      </c>
      <c r="H58" s="21">
        <f>H57/3</f>
        <v>576959.96666666667</v>
      </c>
      <c r="I58" s="21">
        <f>SUM(G58:H58)</f>
        <v>848382.89666666673</v>
      </c>
    </row>
    <row r="59" spans="1:9">
      <c r="A59" s="24" t="s">
        <v>743</v>
      </c>
      <c r="B59" s="19"/>
      <c r="D59" s="21"/>
      <c r="E59" s="21"/>
      <c r="F59" s="21"/>
      <c r="G59" s="21">
        <f>G57/3</f>
        <v>271422.93</v>
      </c>
      <c r="H59" s="21">
        <f>H57/3</f>
        <v>576959.96666666667</v>
      </c>
      <c r="I59" s="21">
        <f>SUM(G59:H59)</f>
        <v>848382.89666666673</v>
      </c>
    </row>
    <row r="60" spans="1:9">
      <c r="A60" s="24" t="s">
        <v>758</v>
      </c>
      <c r="B60" s="19"/>
      <c r="D60" s="21"/>
      <c r="E60" s="21"/>
      <c r="F60" s="21"/>
      <c r="G60" s="21">
        <f>G53</f>
        <v>313639.18</v>
      </c>
      <c r="H60" s="21">
        <f>H53</f>
        <v>657827.11</v>
      </c>
      <c r="I60" s="21">
        <f>SUM(G60:H60)</f>
        <v>971466.29</v>
      </c>
    </row>
    <row r="61" spans="1:9">
      <c r="A61" s="17"/>
      <c r="B61" s="19"/>
      <c r="D61" s="21"/>
      <c r="E61" s="21"/>
      <c r="F61" s="21"/>
      <c r="G61" s="31">
        <f>SUM(G58:G60)</f>
        <v>856485.04</v>
      </c>
      <c r="H61" s="31">
        <f>SUM(H58:H60)</f>
        <v>1811747.0433333335</v>
      </c>
      <c r="I61" s="31">
        <f>SUM(I58:I60)</f>
        <v>2668232.0833333335</v>
      </c>
    </row>
    <row r="62" spans="1:9">
      <c r="A62" s="17"/>
      <c r="B62" s="21"/>
      <c r="D62" s="21"/>
      <c r="E62" s="21"/>
      <c r="F62" s="21"/>
      <c r="G62" s="21"/>
      <c r="H62" s="21"/>
      <c r="I62" s="21"/>
    </row>
    <row r="63" spans="1:9">
      <c r="A63" s="17"/>
      <c r="B63" s="21"/>
      <c r="D63" s="21"/>
      <c r="E63" s="21"/>
      <c r="F63" s="21"/>
      <c r="G63" s="21"/>
      <c r="H63" s="21"/>
      <c r="I63" s="21"/>
    </row>
    <row r="64" spans="1:9">
      <c r="A64" s="17"/>
      <c r="B64" s="21"/>
      <c r="D64" s="21"/>
      <c r="E64" s="21"/>
      <c r="F64" s="21"/>
      <c r="G64" s="21"/>
      <c r="H64" s="21"/>
      <c r="I64" s="21"/>
    </row>
    <row r="65" spans="1:9">
      <c r="A65" s="17"/>
      <c r="B65" s="25" t="s">
        <v>744</v>
      </c>
      <c r="D65" s="25" t="s">
        <v>749</v>
      </c>
      <c r="E65" s="25"/>
      <c r="F65" s="25" t="s">
        <v>755</v>
      </c>
      <c r="G65" s="28" t="s">
        <v>756</v>
      </c>
      <c r="H65" s="17"/>
      <c r="I65" s="17"/>
    </row>
    <row r="66" spans="1:9">
      <c r="A66" s="17" t="s">
        <v>745</v>
      </c>
      <c r="B66">
        <v>58.08</v>
      </c>
      <c r="D66">
        <v>116.15</v>
      </c>
      <c r="E66"/>
      <c r="F66">
        <f>B66+D66</f>
        <v>174.23000000000002</v>
      </c>
      <c r="G66"/>
      <c r="H66" s="17"/>
      <c r="I66" s="17"/>
    </row>
    <row r="67" spans="1:9">
      <c r="A67" s="26"/>
      <c r="B67" s="21">
        <v>50.31</v>
      </c>
      <c r="D67" s="21">
        <v>106.95</v>
      </c>
      <c r="E67" s="21"/>
      <c r="F67">
        <f>B67+D67</f>
        <v>157.26</v>
      </c>
      <c r="G67">
        <f>F67*1.05</f>
        <v>165.12299999999999</v>
      </c>
      <c r="H67" s="17"/>
      <c r="I67" s="17"/>
    </row>
    <row r="68" spans="1:9">
      <c r="A68" s="26"/>
      <c r="B68" s="21">
        <f>B67*1.05</f>
        <v>52.825500000000005</v>
      </c>
      <c r="D68" s="21">
        <f>D67*1.05</f>
        <v>112.29750000000001</v>
      </c>
      <c r="E68" s="21"/>
      <c r="F68">
        <f>B68+D68</f>
        <v>165.12300000000002</v>
      </c>
      <c r="G68"/>
      <c r="H68" s="17"/>
      <c r="I68" s="17"/>
    </row>
    <row r="69" spans="1:9">
      <c r="A69" s="26"/>
      <c r="B69" s="21"/>
      <c r="D69" s="21"/>
      <c r="E69" s="21"/>
      <c r="F69"/>
      <c r="G69"/>
      <c r="H69" s="17"/>
      <c r="I69" s="17"/>
    </row>
    <row r="70" spans="1:9">
      <c r="A70" s="26"/>
      <c r="B70" s="21"/>
      <c r="D70" s="21"/>
      <c r="E70" s="21"/>
      <c r="F70"/>
      <c r="G70"/>
      <c r="H70" s="17"/>
      <c r="I70" s="17"/>
    </row>
    <row r="71" spans="1:9">
      <c r="A71" s="26"/>
      <c r="B71" s="25" t="s">
        <v>744</v>
      </c>
      <c r="D71" s="25" t="s">
        <v>749</v>
      </c>
      <c r="E71" s="25"/>
      <c r="F71" s="25" t="s">
        <v>755</v>
      </c>
      <c r="G71" s="25" t="s">
        <v>757</v>
      </c>
      <c r="H71" s="17"/>
      <c r="I71" s="17"/>
    </row>
    <row r="72" spans="1:9">
      <c r="A72" s="26" t="s">
        <v>746</v>
      </c>
      <c r="B72" s="27">
        <v>55.65</v>
      </c>
      <c r="D72" s="21">
        <v>111.3</v>
      </c>
      <c r="E72" s="21"/>
      <c r="F72" s="27">
        <f>B72+D72</f>
        <v>166.95</v>
      </c>
      <c r="G72" s="27">
        <v>30</v>
      </c>
      <c r="H72" s="17">
        <f>SUM(F72:G72)</f>
        <v>196.95</v>
      </c>
      <c r="I72" s="17"/>
    </row>
    <row r="73" spans="1:9">
      <c r="A73" s="26" t="s">
        <v>747</v>
      </c>
      <c r="B73" s="27">
        <v>55.65</v>
      </c>
      <c r="D73" s="21">
        <v>111.3</v>
      </c>
      <c r="E73" s="21"/>
      <c r="F73" s="27">
        <f>B73+D73</f>
        <v>166.95</v>
      </c>
      <c r="G73" s="27">
        <v>30</v>
      </c>
      <c r="H73" s="17">
        <f>SUM(F73:G73)</f>
        <v>196.95</v>
      </c>
      <c r="I73" s="17"/>
    </row>
    <row r="74" spans="1:9">
      <c r="A74" s="26" t="s">
        <v>748</v>
      </c>
      <c r="B74" s="27">
        <v>55.65</v>
      </c>
      <c r="D74" s="21">
        <v>111.3</v>
      </c>
      <c r="E74" s="21"/>
      <c r="F74" s="27">
        <f>B74+D74</f>
        <v>166.95</v>
      </c>
      <c r="G74" s="27">
        <v>30</v>
      </c>
      <c r="H74" s="17">
        <f>SUM(F74:G74)</f>
        <v>196.95</v>
      </c>
      <c r="I74" s="17"/>
    </row>
    <row r="75" spans="1:9">
      <c r="D75"/>
      <c r="E75"/>
      <c r="F75"/>
      <c r="G75"/>
      <c r="H75" s="17"/>
      <c r="I75" s="17"/>
    </row>
    <row r="76" spans="1:9">
      <c r="B76" s="27">
        <v>10</v>
      </c>
      <c r="D76" s="21">
        <v>20</v>
      </c>
      <c r="E76" s="21"/>
      <c r="F76" s="21">
        <f>B76+D76</f>
        <v>30</v>
      </c>
      <c r="G76" s="21"/>
      <c r="H76" s="21"/>
      <c r="I76" s="17"/>
    </row>
  </sheetData>
  <mergeCells count="4">
    <mergeCell ref="D49:F49"/>
    <mergeCell ref="A1:J1"/>
    <mergeCell ref="A2:J2"/>
    <mergeCell ref="A3:J3"/>
  </mergeCells>
  <phoneticPr fontId="0" type="noConversion"/>
  <pageMargins left="0.75" right="0.75" top="0.75" bottom="0.75" header="0.5" footer="0.5"/>
  <pageSetup orientation="portrait"/>
  <headerFooter alignWithMargins="0"/>
</worksheet>
</file>

<file path=xl/worksheets/sheet42.xml><?xml version="1.0" encoding="utf-8"?>
<worksheet xmlns="http://schemas.openxmlformats.org/spreadsheetml/2006/main" xmlns:r="http://schemas.openxmlformats.org/officeDocument/2006/relationships">
  <sheetPr>
    <pageSetUpPr fitToPage="1"/>
  </sheetPr>
  <dimension ref="A1:K15"/>
  <sheetViews>
    <sheetView workbookViewId="0">
      <pane ySplit="8" topLeftCell="A9" activePane="bottomLeft" state="frozenSplit"/>
      <selection pane="bottomLeft" activeCell="B6" sqref="B6"/>
    </sheetView>
  </sheetViews>
  <sheetFormatPr defaultColWidth="9.1640625" defaultRowHeight="12.75"/>
  <cols>
    <col min="1" max="1" width="55.5" customWidth="1"/>
    <col min="2" max="2" width="14.5" customWidth="1"/>
    <col min="3" max="3" width="5.5" customWidth="1"/>
    <col min="4"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982</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722</v>
      </c>
      <c r="B11" s="1">
        <v>-25000</v>
      </c>
      <c r="D11" s="1">
        <v>0</v>
      </c>
      <c r="E11" s="1">
        <v>-34823.78</v>
      </c>
      <c r="F11" s="1">
        <f>D11+E11</f>
        <v>-34823.78</v>
      </c>
      <c r="G11" s="1">
        <v>-18000</v>
      </c>
      <c r="H11" s="1">
        <v>-34823.78</v>
      </c>
      <c r="I11" s="1">
        <v>-33731.93</v>
      </c>
      <c r="J11" s="12">
        <f>B11/G11</f>
        <v>1.3888888888888888</v>
      </c>
    </row>
    <row r="12" spans="1:11">
      <c r="B12" s="13" t="s">
        <v>21</v>
      </c>
      <c r="D12" s="13" t="s">
        <v>21</v>
      </c>
      <c r="E12" s="13"/>
      <c r="F12" s="13" t="s">
        <v>21</v>
      </c>
      <c r="G12" s="13" t="s">
        <v>21</v>
      </c>
      <c r="H12" s="13" t="s">
        <v>21</v>
      </c>
      <c r="I12" s="13" t="s">
        <v>21</v>
      </c>
      <c r="J12" s="13" t="s">
        <v>21</v>
      </c>
    </row>
    <row r="13" spans="1:11">
      <c r="A13" s="11" t="s">
        <v>22</v>
      </c>
      <c r="B13" s="1">
        <f>SUM(B11:B12)</f>
        <v>-25000</v>
      </c>
      <c r="C13" s="11"/>
      <c r="D13" s="1">
        <f>SUM(D11)</f>
        <v>0</v>
      </c>
      <c r="E13" s="1">
        <f>SUM(E11)</f>
        <v>-34823.78</v>
      </c>
      <c r="F13" s="1">
        <f>SUM(F11)</f>
        <v>-34823.78</v>
      </c>
      <c r="G13" s="1">
        <v>-18000</v>
      </c>
      <c r="H13" s="1">
        <v>-34823.78</v>
      </c>
      <c r="I13" s="1">
        <v>-33731.93</v>
      </c>
      <c r="J13" s="12">
        <f>B13/G13</f>
        <v>1.3888888888888888</v>
      </c>
      <c r="K13" s="11"/>
    </row>
    <row r="14" spans="1:11">
      <c r="B14" s="13" t="s">
        <v>21</v>
      </c>
      <c r="D14" s="13" t="s">
        <v>21</v>
      </c>
      <c r="E14" s="13"/>
      <c r="F14" s="13" t="s">
        <v>21</v>
      </c>
      <c r="G14" s="13" t="s">
        <v>21</v>
      </c>
      <c r="H14" s="13" t="s">
        <v>21</v>
      </c>
      <c r="I14" s="13" t="s">
        <v>21</v>
      </c>
      <c r="J14" s="13" t="s">
        <v>21</v>
      </c>
    </row>
    <row r="15" spans="1:11">
      <c r="B15" s="1"/>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43.xml><?xml version="1.0" encoding="utf-8"?>
<worksheet xmlns="http://schemas.openxmlformats.org/spreadsheetml/2006/main" xmlns:r="http://schemas.openxmlformats.org/officeDocument/2006/relationships">
  <sheetPr>
    <pageSetUpPr fitToPage="1"/>
  </sheetPr>
  <dimension ref="A1:K18"/>
  <sheetViews>
    <sheetView workbookViewId="0">
      <pane ySplit="8" topLeftCell="A9" activePane="bottomLeft" state="frozenSplit"/>
      <selection pane="bottomLeft" activeCell="A44" sqref="A44"/>
    </sheetView>
  </sheetViews>
  <sheetFormatPr defaultColWidth="9.1640625" defaultRowHeight="12.75"/>
  <cols>
    <col min="1" max="1" width="38.5" customWidth="1"/>
    <col min="2" max="2" width="14.5" customWidth="1"/>
    <col min="3" max="3" width="5.5" customWidth="1"/>
    <col min="4" max="5" width="14.5" style="1" customWidth="1"/>
    <col min="6" max="6" width="13.83203125" style="1" customWidth="1"/>
    <col min="7" max="7" width="14.1640625" style="1" customWidth="1"/>
    <col min="8" max="8" width="13.6640625" style="1" customWidth="1"/>
    <col min="9" max="9" width="13.8320312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983</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726</v>
      </c>
      <c r="B11" s="1">
        <f>'DENTAL CURRENT - Acct Detail'!B17</f>
        <v>-37000</v>
      </c>
      <c r="D11" s="1">
        <f>'DENTAL CURRENT - Acct Detail'!D17</f>
        <v>-576136.26</v>
      </c>
      <c r="E11" s="1">
        <f>'DENTAL CURRENT - Acct Detail'!E17</f>
        <v>576607.93999999994</v>
      </c>
      <c r="F11" s="1">
        <f>'DENTAL CURRENT - Acct Detail'!F17</f>
        <v>471.68000000005122</v>
      </c>
      <c r="G11" s="1">
        <v>-24925</v>
      </c>
      <c r="H11" s="1">
        <v>104558.5</v>
      </c>
      <c r="I11" s="1">
        <v>50512.6</v>
      </c>
      <c r="J11" s="12">
        <f>B11/G11</f>
        <v>1.4844533600802408</v>
      </c>
    </row>
    <row r="12" spans="1:11">
      <c r="A12" s="11"/>
      <c r="B12" s="1"/>
      <c r="J12" s="12"/>
    </row>
    <row r="13" spans="1:11">
      <c r="B13" s="13" t="s">
        <v>21</v>
      </c>
      <c r="D13" s="13" t="s">
        <v>21</v>
      </c>
      <c r="E13" s="13"/>
      <c r="F13" s="13" t="s">
        <v>21</v>
      </c>
      <c r="G13" s="13" t="s">
        <v>21</v>
      </c>
      <c r="H13" s="13" t="s">
        <v>21</v>
      </c>
      <c r="I13" s="13" t="s">
        <v>21</v>
      </c>
      <c r="J13" s="13" t="s">
        <v>21</v>
      </c>
    </row>
    <row r="14" spans="1:11">
      <c r="A14" s="11" t="s">
        <v>22</v>
      </c>
      <c r="B14" s="1">
        <f>SUM(B11:B13)</f>
        <v>-37000</v>
      </c>
      <c r="C14" s="11"/>
      <c r="D14" s="1">
        <f>SUM(D11:D12)</f>
        <v>-576136.26</v>
      </c>
      <c r="E14" s="1">
        <f>SUM(E11:E12)</f>
        <v>576607.93999999994</v>
      </c>
      <c r="F14" s="1">
        <f>SUM(F11:F12)</f>
        <v>471.68000000005122</v>
      </c>
      <c r="G14" s="1">
        <v>-24925</v>
      </c>
      <c r="H14" s="1">
        <v>104785.32</v>
      </c>
      <c r="I14" s="1">
        <v>50512.6</v>
      </c>
      <c r="J14" s="12">
        <f>B14/G14</f>
        <v>1.4844533600802408</v>
      </c>
      <c r="K14" s="11"/>
    </row>
    <row r="15" spans="1:11">
      <c r="B15" s="13" t="s">
        <v>21</v>
      </c>
      <c r="D15" s="13" t="s">
        <v>21</v>
      </c>
      <c r="E15" s="13"/>
      <c r="F15" s="13" t="s">
        <v>21</v>
      </c>
      <c r="G15" s="13" t="s">
        <v>21</v>
      </c>
      <c r="H15" s="13" t="s">
        <v>21</v>
      </c>
      <c r="I15" s="13" t="s">
        <v>21</v>
      </c>
      <c r="J15" s="13" t="s">
        <v>21</v>
      </c>
    </row>
    <row r="17" spans="4:5">
      <c r="D17" s="1">
        <v>-576136.26</v>
      </c>
    </row>
    <row r="18" spans="4:5">
      <c r="E18" s="1">
        <f>604225.17+104785.32</f>
        <v>709010.49</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44.xml><?xml version="1.0" encoding="utf-8"?>
<worksheet xmlns="http://schemas.openxmlformats.org/spreadsheetml/2006/main" xmlns:r="http://schemas.openxmlformats.org/officeDocument/2006/relationships">
  <sheetPr>
    <pageSetUpPr fitToPage="1"/>
  </sheetPr>
  <dimension ref="A1:K75"/>
  <sheetViews>
    <sheetView workbookViewId="0">
      <pane ySplit="8" topLeftCell="A9" activePane="bottomLeft" state="frozenSplit"/>
      <selection pane="bottomLeft" activeCell="K4" sqref="K4"/>
    </sheetView>
  </sheetViews>
  <sheetFormatPr defaultColWidth="9.1640625" defaultRowHeight="12.75"/>
  <cols>
    <col min="1" max="1" width="51.83203125" customWidth="1"/>
    <col min="2" max="2" width="15.1640625" customWidth="1"/>
    <col min="3" max="3" width="5.5" customWidth="1"/>
    <col min="4"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984</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81" t="s">
        <v>916</v>
      </c>
      <c r="B11" s="1">
        <v>-2500000</v>
      </c>
      <c r="D11" s="1">
        <f>-2495091.29</f>
        <v>-2495091.29</v>
      </c>
      <c r="E11" s="1">
        <f>831697-822000</f>
        <v>9697</v>
      </c>
      <c r="F11" s="1">
        <f>D11+E11</f>
        <v>-2485394.29</v>
      </c>
      <c r="G11" s="1">
        <v>-2497225</v>
      </c>
      <c r="H11" s="1">
        <v>-2326034.86</v>
      </c>
      <c r="I11" s="1">
        <f>-572129.23-1797342.99</f>
        <v>-2369472.2199999997</v>
      </c>
      <c r="J11" s="12">
        <f t="shared" ref="J11:J17" si="0">B11/G11</f>
        <v>1.0011112334691508</v>
      </c>
    </row>
    <row r="12" spans="1:11">
      <c r="A12" s="81" t="s">
        <v>917</v>
      </c>
      <c r="B12" s="1">
        <v>500</v>
      </c>
      <c r="D12" s="1">
        <f>428.2</f>
        <v>428.2</v>
      </c>
      <c r="F12" s="1">
        <f>D12+E12</f>
        <v>428.2</v>
      </c>
      <c r="G12" s="1">
        <v>200</v>
      </c>
      <c r="H12" s="1">
        <v>137.5</v>
      </c>
      <c r="J12" s="12">
        <f t="shared" si="0"/>
        <v>2.5</v>
      </c>
    </row>
    <row r="13" spans="1:11">
      <c r="A13" s="81" t="s">
        <v>918</v>
      </c>
      <c r="B13" s="1">
        <f>-B11*0.63</f>
        <v>1575000</v>
      </c>
      <c r="D13" s="1">
        <f>657827.11+527598.02</f>
        <v>1185425.1299999999</v>
      </c>
      <c r="E13" s="1">
        <v>553764.12</v>
      </c>
      <c r="F13" s="1">
        <f>D13+E13</f>
        <v>1739189.25</v>
      </c>
      <c r="G13" s="1">
        <v>1809600</v>
      </c>
      <c r="H13" s="1">
        <v>1764824.04</v>
      </c>
      <c r="I13" s="1">
        <f>588251.44+1202590.9</f>
        <v>1790842.3399999999</v>
      </c>
      <c r="J13" s="12">
        <f t="shared" si="0"/>
        <v>0.87035809018567645</v>
      </c>
    </row>
    <row r="14" spans="1:11">
      <c r="A14" s="81" t="s">
        <v>919</v>
      </c>
      <c r="B14" s="1">
        <v>12500</v>
      </c>
      <c r="E14" s="1">
        <v>12920</v>
      </c>
      <c r="F14" s="1">
        <f>D14+E14</f>
        <v>12920</v>
      </c>
      <c r="G14" s="1">
        <v>12500</v>
      </c>
      <c r="H14" s="1">
        <v>12920</v>
      </c>
      <c r="I14" s="1">
        <f>12500+12087.71</f>
        <v>24587.71</v>
      </c>
      <c r="J14" s="12">
        <f t="shared" si="0"/>
        <v>1</v>
      </c>
    </row>
    <row r="15" spans="1:11">
      <c r="A15" s="81" t="s">
        <v>920</v>
      </c>
      <c r="B15" s="1">
        <f>-B11*0.35</f>
        <v>875000</v>
      </c>
      <c r="D15" s="1">
        <f>732986.7+115</f>
        <v>733101.7</v>
      </c>
      <c r="E15" s="1">
        <v>226.82</v>
      </c>
      <c r="F15" s="1">
        <f>D15+E15</f>
        <v>733328.5199999999</v>
      </c>
      <c r="G15" s="1">
        <v>650000</v>
      </c>
      <c r="H15" s="1">
        <f>652711.82+226.82</f>
        <v>652938.6399999999</v>
      </c>
      <c r="I15" s="1">
        <f>990+603564.77</f>
        <v>604554.77</v>
      </c>
      <c r="J15" s="12">
        <f t="shared" si="0"/>
        <v>1.3461538461538463</v>
      </c>
    </row>
    <row r="16" spans="1:11">
      <c r="B16" s="13" t="s">
        <v>21</v>
      </c>
      <c r="D16" s="13" t="s">
        <v>21</v>
      </c>
      <c r="E16" s="13"/>
      <c r="F16" s="13" t="s">
        <v>21</v>
      </c>
      <c r="G16" s="13" t="s">
        <v>21</v>
      </c>
      <c r="H16" s="13" t="s">
        <v>21</v>
      </c>
      <c r="I16" s="13" t="s">
        <v>21</v>
      </c>
      <c r="J16" s="13" t="s">
        <v>21</v>
      </c>
    </row>
    <row r="17" spans="1:11">
      <c r="A17" s="11" t="s">
        <v>22</v>
      </c>
      <c r="B17" s="1">
        <f>SUM(B11:B16)</f>
        <v>-37000</v>
      </c>
      <c r="C17" s="11"/>
      <c r="D17" s="1">
        <f>SUM(D11:D15)</f>
        <v>-576136.26</v>
      </c>
      <c r="E17" s="1">
        <f>SUM(E11:E15)</f>
        <v>576607.93999999994</v>
      </c>
      <c r="F17" s="1">
        <f>SUM(F11:F15)</f>
        <v>471.68000000005122</v>
      </c>
      <c r="G17" s="1">
        <v>-24925</v>
      </c>
      <c r="H17" s="1">
        <v>104785.32</v>
      </c>
      <c r="I17" s="1">
        <v>50512.6</v>
      </c>
      <c r="J17" s="12">
        <f t="shared" si="0"/>
        <v>1.4844533600802408</v>
      </c>
      <c r="K17" s="11"/>
    </row>
    <row r="18" spans="1:11">
      <c r="B18" s="13" t="s">
        <v>21</v>
      </c>
      <c r="D18" s="13" t="s">
        <v>21</v>
      </c>
      <c r="E18" s="13"/>
      <c r="F18" s="13" t="s">
        <v>21</v>
      </c>
      <c r="G18" s="13" t="s">
        <v>21</v>
      </c>
      <c r="H18" s="13" t="s">
        <v>21</v>
      </c>
      <c r="I18" s="13" t="s">
        <v>21</v>
      </c>
      <c r="J18" s="13" t="s">
        <v>21</v>
      </c>
    </row>
    <row r="19" spans="1:11">
      <c r="B19" s="1"/>
      <c r="F19" s="1">
        <f>SUM(F11:F15)</f>
        <v>471.68000000005122</v>
      </c>
    </row>
    <row r="20" spans="1:11">
      <c r="E20" s="1" t="s">
        <v>766</v>
      </c>
    </row>
    <row r="22" spans="1:11">
      <c r="A22" s="11"/>
    </row>
    <row r="23" spans="1:11">
      <c r="A23" s="11"/>
      <c r="J23" s="12"/>
    </row>
    <row r="24" spans="1:11">
      <c r="A24" s="17" t="s">
        <v>730</v>
      </c>
      <c r="B24" s="18" t="s">
        <v>731</v>
      </c>
      <c r="D24" s="18" t="s">
        <v>744</v>
      </c>
      <c r="E24" s="33"/>
      <c r="F24" s="18" t="s">
        <v>749</v>
      </c>
      <c r="G24" s="18" t="s">
        <v>750</v>
      </c>
      <c r="H24" s="28" t="s">
        <v>751</v>
      </c>
      <c r="I24" s="28" t="s">
        <v>752</v>
      </c>
      <c r="J24" s="12"/>
    </row>
    <row r="25" spans="1:11">
      <c r="A25" s="17" t="s">
        <v>732</v>
      </c>
      <c r="B25" s="19">
        <f>2</f>
        <v>2</v>
      </c>
      <c r="D25" s="21">
        <v>55.65</v>
      </c>
      <c r="E25" s="21"/>
      <c r="F25" s="21"/>
      <c r="G25" s="21">
        <f>B25*D25</f>
        <v>111.3</v>
      </c>
      <c r="H25" s="21"/>
      <c r="I25" s="21">
        <f t="shared" ref="I25:I30" si="1">SUM(G25:H25)</f>
        <v>111.3</v>
      </c>
      <c r="J25" s="12"/>
    </row>
    <row r="26" spans="1:11">
      <c r="A26" s="17" t="s">
        <v>733</v>
      </c>
      <c r="B26" s="19">
        <f>103+32</f>
        <v>135</v>
      </c>
      <c r="D26" s="21">
        <v>55.65</v>
      </c>
      <c r="E26" s="21"/>
      <c r="F26" s="21">
        <v>111.3</v>
      </c>
      <c r="G26" s="21">
        <f>B26*D26</f>
        <v>7512.75</v>
      </c>
      <c r="H26" s="21">
        <f>B26*F26</f>
        <v>15025.5</v>
      </c>
      <c r="I26" s="21">
        <f t="shared" si="1"/>
        <v>22538.25</v>
      </c>
      <c r="J26" s="12"/>
    </row>
    <row r="27" spans="1:11">
      <c r="A27" s="17" t="s">
        <v>734</v>
      </c>
      <c r="B27" s="19">
        <f>5</f>
        <v>5</v>
      </c>
      <c r="D27" s="21"/>
      <c r="E27" s="21"/>
      <c r="F27" s="21">
        <v>111.3</v>
      </c>
      <c r="G27" s="21"/>
      <c r="H27" s="21">
        <f>B27*F27</f>
        <v>556.5</v>
      </c>
      <c r="I27" s="21">
        <f t="shared" si="1"/>
        <v>556.5</v>
      </c>
      <c r="J27" s="12"/>
    </row>
    <row r="28" spans="1:11">
      <c r="A28" s="17" t="s">
        <v>735</v>
      </c>
      <c r="B28" s="19">
        <f>32</f>
        <v>32</v>
      </c>
      <c r="D28" s="21">
        <v>58.08</v>
      </c>
      <c r="E28" s="21"/>
      <c r="F28" s="21"/>
      <c r="G28" s="21">
        <f>B28*D28</f>
        <v>1858.56</v>
      </c>
      <c r="H28" s="21"/>
      <c r="I28" s="21">
        <f t="shared" si="1"/>
        <v>1858.56</v>
      </c>
      <c r="J28" s="13"/>
    </row>
    <row r="29" spans="1:11">
      <c r="A29" s="17" t="s">
        <v>736</v>
      </c>
      <c r="B29" s="19">
        <f>3221+947</f>
        <v>4168</v>
      </c>
      <c r="C29" s="11"/>
      <c r="D29" s="21">
        <v>58.08</v>
      </c>
      <c r="E29" s="21"/>
      <c r="F29" s="21">
        <v>116.15</v>
      </c>
      <c r="G29" s="21">
        <f>B29*D29</f>
        <v>242077.44</v>
      </c>
      <c r="H29" s="21">
        <f>B29*F29</f>
        <v>484113.2</v>
      </c>
      <c r="I29" s="21">
        <f t="shared" si="1"/>
        <v>726190.64</v>
      </c>
      <c r="J29" s="12"/>
    </row>
    <row r="30" spans="1:11">
      <c r="A30" s="17" t="s">
        <v>737</v>
      </c>
      <c r="B30" s="19">
        <f>124+48</f>
        <v>172</v>
      </c>
      <c r="D30" s="21"/>
      <c r="E30" s="21"/>
      <c r="F30" s="21">
        <v>116.15</v>
      </c>
      <c r="G30" s="21"/>
      <c r="H30" s="21">
        <f>B30*F30</f>
        <v>19977.8</v>
      </c>
      <c r="I30" s="21">
        <f t="shared" si="1"/>
        <v>19977.8</v>
      </c>
      <c r="J30" s="13"/>
    </row>
    <row r="31" spans="1:11">
      <c r="A31" s="17"/>
      <c r="B31" s="20">
        <f>SUM(B25:B30)</f>
        <v>4514</v>
      </c>
      <c r="D31" s="21"/>
      <c r="E31" s="21"/>
      <c r="F31" s="21"/>
      <c r="G31" s="29">
        <f>SUM(G25:G30)</f>
        <v>251560.05</v>
      </c>
      <c r="H31" s="29">
        <f>SUM(H25:H30)</f>
        <v>519673</v>
      </c>
      <c r="I31" s="29">
        <f>SUM(I25:I30)</f>
        <v>771233.05</v>
      </c>
    </row>
    <row r="32" spans="1:11">
      <c r="A32" s="17"/>
      <c r="B32" s="21"/>
      <c r="D32" s="21"/>
      <c r="E32" s="21"/>
      <c r="F32" s="30"/>
      <c r="G32" s="21"/>
      <c r="H32" s="17"/>
      <c r="I32" s="17"/>
    </row>
    <row r="33" spans="1:9">
      <c r="A33" s="17"/>
      <c r="B33" s="17"/>
      <c r="D33" s="17"/>
      <c r="E33" s="17"/>
      <c r="F33" s="17"/>
      <c r="G33" s="17"/>
      <c r="H33" s="17"/>
      <c r="I33" s="17"/>
    </row>
    <row r="34" spans="1:9">
      <c r="A34" s="17"/>
      <c r="B34" s="17"/>
      <c r="D34" s="17"/>
      <c r="E34" s="17"/>
      <c r="F34" s="17"/>
      <c r="G34" s="17"/>
      <c r="H34" s="17"/>
      <c r="I34" s="17"/>
    </row>
    <row r="35" spans="1:9">
      <c r="A35" s="17" t="s">
        <v>738</v>
      </c>
      <c r="B35" s="18" t="s">
        <v>731</v>
      </c>
      <c r="D35" s="18" t="s">
        <v>744</v>
      </c>
      <c r="E35" s="33"/>
      <c r="F35" s="18" t="s">
        <v>749</v>
      </c>
      <c r="G35" s="18" t="s">
        <v>750</v>
      </c>
      <c r="H35" s="28" t="s">
        <v>751</v>
      </c>
      <c r="I35" s="28" t="s">
        <v>752</v>
      </c>
    </row>
    <row r="36" spans="1:9">
      <c r="A36" s="17" t="s">
        <v>732</v>
      </c>
      <c r="B36" s="19">
        <v>0</v>
      </c>
      <c r="D36" s="21">
        <v>55.65</v>
      </c>
      <c r="E36" s="21"/>
      <c r="F36" s="21"/>
      <c r="G36" s="21">
        <f>B36*D36</f>
        <v>0</v>
      </c>
      <c r="H36" s="21"/>
      <c r="I36" s="21">
        <f t="shared" ref="I36:I41" si="2">SUM(G36:H36)</f>
        <v>0</v>
      </c>
    </row>
    <row r="37" spans="1:9">
      <c r="A37" s="17" t="s">
        <v>733</v>
      </c>
      <c r="B37" s="19">
        <f>48+31</f>
        <v>79</v>
      </c>
      <c r="D37" s="21">
        <v>55.65</v>
      </c>
      <c r="E37" s="21"/>
      <c r="F37" s="21">
        <v>111.3</v>
      </c>
      <c r="G37" s="21">
        <f>B37*D37</f>
        <v>4396.3499999999995</v>
      </c>
      <c r="H37" s="21">
        <f>B37*F37</f>
        <v>8792.6999999999989</v>
      </c>
      <c r="I37" s="21">
        <f t="shared" si="2"/>
        <v>13189.05</v>
      </c>
    </row>
    <row r="38" spans="1:9">
      <c r="A38" s="17" t="s">
        <v>734</v>
      </c>
      <c r="B38" s="19">
        <f>3</f>
        <v>3</v>
      </c>
      <c r="D38" s="21"/>
      <c r="E38" s="21"/>
      <c r="F38" s="21">
        <v>111.3</v>
      </c>
      <c r="G38" s="21"/>
      <c r="H38" s="21">
        <f>B38*F38</f>
        <v>333.9</v>
      </c>
      <c r="I38" s="21">
        <f t="shared" si="2"/>
        <v>333.9</v>
      </c>
    </row>
    <row r="39" spans="1:9">
      <c r="A39" s="17" t="s">
        <v>735</v>
      </c>
      <c r="B39" s="19">
        <f>14+5</f>
        <v>19</v>
      </c>
      <c r="D39" s="21">
        <v>58.08</v>
      </c>
      <c r="E39" s="21">
        <v>118.9</v>
      </c>
      <c r="F39" s="21"/>
      <c r="G39" s="21">
        <f>B39*D39</f>
        <v>1103.52</v>
      </c>
      <c r="H39" s="21"/>
      <c r="I39" s="21">
        <f t="shared" si="2"/>
        <v>1103.52</v>
      </c>
    </row>
    <row r="40" spans="1:9">
      <c r="A40" s="17" t="s">
        <v>736</v>
      </c>
      <c r="B40" s="19">
        <f>1332+383</f>
        <v>1715</v>
      </c>
      <c r="D40" s="21">
        <v>58.08</v>
      </c>
      <c r="E40" s="21"/>
      <c r="F40" s="21">
        <v>116.15</v>
      </c>
      <c r="G40" s="21">
        <f>B40*D40</f>
        <v>99607.2</v>
      </c>
      <c r="H40" s="21">
        <f>B40*F40</f>
        <v>199197.25</v>
      </c>
      <c r="I40" s="21">
        <f t="shared" si="2"/>
        <v>298804.45</v>
      </c>
    </row>
    <row r="41" spans="1:9">
      <c r="A41" s="17" t="s">
        <v>737</v>
      </c>
      <c r="B41" s="19">
        <f>28+9</f>
        <v>37</v>
      </c>
      <c r="C41" s="11"/>
      <c r="D41" s="21"/>
      <c r="E41" s="21"/>
      <c r="F41" s="21">
        <v>116.15</v>
      </c>
      <c r="G41" s="21"/>
      <c r="H41" s="21">
        <f>B41*F41</f>
        <v>4297.55</v>
      </c>
      <c r="I41" s="21">
        <f t="shared" si="2"/>
        <v>4297.55</v>
      </c>
    </row>
    <row r="42" spans="1:9">
      <c r="A42" s="17"/>
      <c r="B42" s="20">
        <f>SUM(B36:B41)</f>
        <v>1853</v>
      </c>
      <c r="D42" s="21"/>
      <c r="E42" s="21"/>
      <c r="F42" s="21"/>
      <c r="G42" s="29">
        <f>SUM(G36:G41)</f>
        <v>105107.06999999999</v>
      </c>
      <c r="H42" s="29">
        <f>SUM(H36:H41)</f>
        <v>212621.4</v>
      </c>
      <c r="I42" s="29">
        <f>SUM(I36:I41)</f>
        <v>317728.46999999997</v>
      </c>
    </row>
    <row r="43" spans="1:9">
      <c r="A43" s="17"/>
      <c r="B43" s="21"/>
      <c r="D43" s="21"/>
      <c r="E43" s="21"/>
      <c r="F43" s="21"/>
      <c r="G43" s="21"/>
      <c r="H43" s="21"/>
      <c r="I43" s="21"/>
    </row>
    <row r="44" spans="1:9">
      <c r="A44" s="17"/>
      <c r="B44" s="21"/>
      <c r="D44" s="21"/>
      <c r="E44" s="21"/>
      <c r="F44" s="21"/>
      <c r="G44" s="21"/>
      <c r="H44" s="21"/>
      <c r="I44" s="21"/>
    </row>
    <row r="45" spans="1:9">
      <c r="A45" s="22" t="s">
        <v>739</v>
      </c>
      <c r="B45" s="23">
        <f>B31+B42</f>
        <v>6367</v>
      </c>
      <c r="D45" s="21"/>
      <c r="E45" s="21"/>
      <c r="F45" s="21"/>
      <c r="G45" s="23">
        <f>G31+G42</f>
        <v>356667.12</v>
      </c>
      <c r="H45" s="23">
        <f>H31+H42</f>
        <v>732294.4</v>
      </c>
      <c r="I45" s="23">
        <f>I31+I42</f>
        <v>1088961.52</v>
      </c>
    </row>
    <row r="46" spans="1:9">
      <c r="A46" s="17"/>
      <c r="B46" s="19"/>
      <c r="D46" s="21"/>
      <c r="E46" s="21"/>
      <c r="F46" s="21"/>
      <c r="G46" s="21"/>
      <c r="H46" s="21"/>
      <c r="I46" s="21"/>
    </row>
    <row r="47" spans="1:9">
      <c r="A47" s="24" t="s">
        <v>740</v>
      </c>
      <c r="B47" s="19">
        <v>21780</v>
      </c>
      <c r="D47" s="21"/>
      <c r="E47" s="21"/>
      <c r="F47" s="21"/>
      <c r="G47" s="21"/>
      <c r="H47" s="21"/>
      <c r="I47" s="21"/>
    </row>
    <row r="48" spans="1:9">
      <c r="A48" s="17"/>
      <c r="B48" s="19"/>
      <c r="D48" s="127" t="s">
        <v>753</v>
      </c>
      <c r="E48" s="127"/>
      <c r="F48" s="127"/>
      <c r="G48" s="21"/>
      <c r="H48" s="21"/>
      <c r="I48" s="21"/>
    </row>
    <row r="49" spans="1:9">
      <c r="A49" s="24" t="s">
        <v>741</v>
      </c>
      <c r="B49" s="19">
        <f>B47-B45</f>
        <v>15413</v>
      </c>
      <c r="D49" s="21">
        <v>50.31</v>
      </c>
      <c r="E49" s="21"/>
      <c r="F49" s="21">
        <v>106.95</v>
      </c>
      <c r="G49" s="21">
        <f>B49*D49</f>
        <v>775428.03</v>
      </c>
      <c r="H49" s="21">
        <f>B49*F49</f>
        <v>1648420.35</v>
      </c>
      <c r="I49" s="21">
        <f>SUM(G49:H49)</f>
        <v>2423848.38</v>
      </c>
    </row>
    <row r="50" spans="1:9">
      <c r="A50" s="24" t="s">
        <v>742</v>
      </c>
      <c r="B50" s="19"/>
      <c r="D50" s="21"/>
      <c r="E50" s="21"/>
      <c r="F50" s="21"/>
      <c r="G50" s="21">
        <f>G49/3</f>
        <v>258476.01</v>
      </c>
      <c r="H50" s="21">
        <f>H49/3</f>
        <v>549473.45000000007</v>
      </c>
      <c r="I50" s="21">
        <f>SUM(G50:H50)</f>
        <v>807949.46000000008</v>
      </c>
    </row>
    <row r="51" spans="1:9">
      <c r="A51" s="24" t="s">
        <v>743</v>
      </c>
      <c r="B51" s="19"/>
      <c r="D51" s="21"/>
      <c r="E51" s="21"/>
      <c r="F51" s="21"/>
      <c r="G51" s="21">
        <f>G49/3</f>
        <v>258476.01</v>
      </c>
      <c r="H51" s="21">
        <f>H49/3</f>
        <v>549473.45000000007</v>
      </c>
      <c r="I51" s="21">
        <f>SUM(G51:H51)</f>
        <v>807949.46000000008</v>
      </c>
    </row>
    <row r="52" spans="1:9">
      <c r="A52" s="24" t="s">
        <v>758</v>
      </c>
      <c r="B52" s="19"/>
      <c r="D52" s="21"/>
      <c r="E52" s="21"/>
      <c r="F52" s="21"/>
      <c r="G52" s="21">
        <v>313639.18</v>
      </c>
      <c r="H52" s="21">
        <v>657827.11</v>
      </c>
      <c r="I52" s="21">
        <f>SUM(G52:H52)</f>
        <v>971466.29</v>
      </c>
    </row>
    <row r="53" spans="1:9">
      <c r="A53" s="17"/>
      <c r="B53" s="19"/>
      <c r="D53" s="21"/>
      <c r="E53" s="21"/>
      <c r="F53" s="21"/>
      <c r="G53" s="31">
        <f>SUM(G50:G52)</f>
        <v>830591.2</v>
      </c>
      <c r="H53" s="31">
        <f>SUM(H50:H52)</f>
        <v>1756774.0100000002</v>
      </c>
      <c r="I53" s="31">
        <f>SUM(I50:I52)</f>
        <v>2587365.21</v>
      </c>
    </row>
    <row r="54" spans="1:9">
      <c r="A54" s="17"/>
      <c r="B54" s="21"/>
      <c r="D54" s="21"/>
      <c r="E54" s="21"/>
      <c r="F54" s="21"/>
      <c r="G54" s="21"/>
      <c r="H54" s="21"/>
      <c r="I54" s="21"/>
    </row>
    <row r="55" spans="1:9">
      <c r="A55" s="17"/>
      <c r="B55" s="19"/>
      <c r="D55" s="32" t="s">
        <v>754</v>
      </c>
      <c r="E55" s="32"/>
      <c r="F55" s="32"/>
      <c r="G55" s="21"/>
      <c r="H55" s="21"/>
      <c r="I55" s="21"/>
    </row>
    <row r="56" spans="1:9">
      <c r="A56" s="24" t="s">
        <v>741</v>
      </c>
      <c r="B56" s="19">
        <f>B49</f>
        <v>15413</v>
      </c>
      <c r="D56" s="21">
        <v>52.83</v>
      </c>
      <c r="E56" s="21"/>
      <c r="F56" s="21">
        <v>112.3</v>
      </c>
      <c r="G56" s="21">
        <f>B56*D56</f>
        <v>814268.78999999992</v>
      </c>
      <c r="H56" s="21">
        <f>B56*F56</f>
        <v>1730879.9</v>
      </c>
      <c r="I56" s="21">
        <f>SUM(G56:H56)</f>
        <v>2545148.69</v>
      </c>
    </row>
    <row r="57" spans="1:9">
      <c r="A57" s="24" t="s">
        <v>742</v>
      </c>
      <c r="B57" s="19"/>
      <c r="D57" s="21"/>
      <c r="E57" s="21"/>
      <c r="F57" s="21"/>
      <c r="G57" s="21">
        <f>G56/3</f>
        <v>271422.93</v>
      </c>
      <c r="H57" s="21">
        <f>H56/3</f>
        <v>576959.96666666667</v>
      </c>
      <c r="I57" s="21">
        <f>SUM(G57:H57)</f>
        <v>848382.89666666673</v>
      </c>
    </row>
    <row r="58" spans="1:9">
      <c r="A58" s="24" t="s">
        <v>743</v>
      </c>
      <c r="B58" s="19"/>
      <c r="D58" s="21"/>
      <c r="E58" s="21"/>
      <c r="F58" s="21"/>
      <c r="G58" s="21">
        <f>G56/3</f>
        <v>271422.93</v>
      </c>
      <c r="H58" s="21">
        <f>H56/3</f>
        <v>576959.96666666667</v>
      </c>
      <c r="I58" s="21">
        <f>SUM(G58:H58)</f>
        <v>848382.89666666673</v>
      </c>
    </row>
    <row r="59" spans="1:9">
      <c r="A59" s="24" t="s">
        <v>758</v>
      </c>
      <c r="B59" s="19"/>
      <c r="D59" s="21"/>
      <c r="E59" s="21"/>
      <c r="F59" s="21"/>
      <c r="G59" s="21">
        <f>G52</f>
        <v>313639.18</v>
      </c>
      <c r="H59" s="21">
        <f>H52</f>
        <v>657827.11</v>
      </c>
      <c r="I59" s="21">
        <f>SUM(G59:H59)</f>
        <v>971466.29</v>
      </c>
    </row>
    <row r="60" spans="1:9">
      <c r="A60" s="17"/>
      <c r="B60" s="19"/>
      <c r="D60" s="21"/>
      <c r="E60" s="21"/>
      <c r="F60" s="21"/>
      <c r="G60" s="31">
        <f>SUM(G57:G59)</f>
        <v>856485.04</v>
      </c>
      <c r="H60" s="31">
        <f>SUM(H57:H59)</f>
        <v>1811747.0433333335</v>
      </c>
      <c r="I60" s="31">
        <f>SUM(I57:I59)</f>
        <v>2668232.0833333335</v>
      </c>
    </row>
    <row r="61" spans="1:9">
      <c r="A61" s="17"/>
      <c r="B61" s="21"/>
      <c r="D61" s="21"/>
      <c r="E61" s="21"/>
      <c r="F61" s="21"/>
      <c r="G61" s="21"/>
      <c r="H61" s="21"/>
      <c r="I61" s="21"/>
    </row>
    <row r="62" spans="1:9">
      <c r="A62" s="17"/>
      <c r="B62" s="21"/>
      <c r="D62" s="21"/>
      <c r="E62" s="21"/>
      <c r="F62" s="21"/>
      <c r="G62" s="21"/>
      <c r="H62" s="21"/>
      <c r="I62" s="21"/>
    </row>
    <row r="63" spans="1:9">
      <c r="A63" s="17"/>
      <c r="B63" s="21"/>
      <c r="D63" s="21"/>
      <c r="E63" s="21"/>
      <c r="F63" s="21"/>
      <c r="G63" s="21"/>
      <c r="H63" s="21"/>
      <c r="I63" s="21"/>
    </row>
    <row r="64" spans="1:9">
      <c r="A64" s="17"/>
      <c r="B64" s="25" t="s">
        <v>744</v>
      </c>
      <c r="D64" s="25" t="s">
        <v>749</v>
      </c>
      <c r="E64" s="25"/>
      <c r="F64" s="25" t="s">
        <v>755</v>
      </c>
      <c r="G64" s="28" t="s">
        <v>756</v>
      </c>
      <c r="H64" s="17"/>
      <c r="I64" s="17"/>
    </row>
    <row r="65" spans="1:9">
      <c r="A65" s="17" t="s">
        <v>745</v>
      </c>
      <c r="B65">
        <v>58.08</v>
      </c>
      <c r="D65">
        <v>116.15</v>
      </c>
      <c r="E65"/>
      <c r="F65">
        <f>B65+D65</f>
        <v>174.23000000000002</v>
      </c>
      <c r="G65"/>
      <c r="H65" s="17"/>
      <c r="I65" s="17"/>
    </row>
    <row r="66" spans="1:9">
      <c r="A66" s="26"/>
      <c r="B66" s="21">
        <v>50.31</v>
      </c>
      <c r="D66" s="21">
        <v>106.95</v>
      </c>
      <c r="E66" s="21"/>
      <c r="F66">
        <f>B66+D66</f>
        <v>157.26</v>
      </c>
      <c r="G66">
        <f>F66*1.05</f>
        <v>165.12299999999999</v>
      </c>
      <c r="H66" s="17"/>
      <c r="I66" s="17"/>
    </row>
    <row r="67" spans="1:9">
      <c r="A67" s="26"/>
      <c r="B67" s="21">
        <f>B66*1.05</f>
        <v>52.825500000000005</v>
      </c>
      <c r="D67" s="21">
        <f>D66*1.05</f>
        <v>112.29750000000001</v>
      </c>
      <c r="E67" s="21"/>
      <c r="F67">
        <f>B67+D67</f>
        <v>165.12300000000002</v>
      </c>
      <c r="G67"/>
      <c r="H67" s="17"/>
      <c r="I67" s="17"/>
    </row>
    <row r="68" spans="1:9">
      <c r="A68" s="26"/>
      <c r="B68" s="21"/>
      <c r="D68" s="21"/>
      <c r="E68" s="21"/>
      <c r="F68"/>
      <c r="G68"/>
      <c r="H68" s="17"/>
      <c r="I68" s="17"/>
    </row>
    <row r="69" spans="1:9">
      <c r="A69" s="26"/>
      <c r="B69" s="21"/>
      <c r="D69" s="21"/>
      <c r="E69" s="21"/>
      <c r="F69"/>
      <c r="G69"/>
      <c r="H69" s="17"/>
      <c r="I69" s="17"/>
    </row>
    <row r="70" spans="1:9">
      <c r="A70" s="26"/>
      <c r="B70" s="25" t="s">
        <v>744</v>
      </c>
      <c r="D70" s="25" t="s">
        <v>749</v>
      </c>
      <c r="E70" s="25"/>
      <c r="F70" s="25" t="s">
        <v>755</v>
      </c>
      <c r="G70" s="25" t="s">
        <v>757</v>
      </c>
      <c r="H70" s="17"/>
      <c r="I70" s="17"/>
    </row>
    <row r="71" spans="1:9">
      <c r="A71" s="26" t="s">
        <v>746</v>
      </c>
      <c r="B71" s="27">
        <v>55.65</v>
      </c>
      <c r="D71" s="21">
        <v>111.3</v>
      </c>
      <c r="E71" s="21"/>
      <c r="F71" s="27">
        <f>B71+D71</f>
        <v>166.95</v>
      </c>
      <c r="G71" s="27">
        <v>30</v>
      </c>
      <c r="H71" s="17">
        <f>SUM(F71:G71)</f>
        <v>196.95</v>
      </c>
      <c r="I71" s="17"/>
    </row>
    <row r="72" spans="1:9">
      <c r="A72" s="26" t="s">
        <v>747</v>
      </c>
      <c r="B72" s="27">
        <v>55.65</v>
      </c>
      <c r="D72" s="21">
        <v>111.3</v>
      </c>
      <c r="E72" s="21"/>
      <c r="F72" s="27">
        <f>B72+D72</f>
        <v>166.95</v>
      </c>
      <c r="G72" s="27">
        <v>30</v>
      </c>
      <c r="H72" s="17">
        <f>SUM(F72:G72)</f>
        <v>196.95</v>
      </c>
      <c r="I72" s="17"/>
    </row>
    <row r="73" spans="1:9">
      <c r="A73" s="26" t="s">
        <v>748</v>
      </c>
      <c r="B73" s="27">
        <v>55.65</v>
      </c>
      <c r="D73" s="21">
        <v>111.3</v>
      </c>
      <c r="E73" s="21"/>
      <c r="F73" s="27">
        <f>B73+D73</f>
        <v>166.95</v>
      </c>
      <c r="G73" s="27">
        <v>30</v>
      </c>
      <c r="H73" s="17">
        <f>SUM(F73:G73)</f>
        <v>196.95</v>
      </c>
      <c r="I73" s="17"/>
    </row>
    <row r="74" spans="1:9">
      <c r="D74"/>
      <c r="E74"/>
      <c r="F74"/>
      <c r="G74"/>
      <c r="H74" s="17"/>
      <c r="I74" s="17"/>
    </row>
    <row r="75" spans="1:9">
      <c r="B75" s="27">
        <v>10</v>
      </c>
      <c r="D75" s="21">
        <v>20</v>
      </c>
      <c r="E75" s="21"/>
      <c r="F75" s="21">
        <f>B75+D75</f>
        <v>30</v>
      </c>
      <c r="G75" s="21"/>
      <c r="H75" s="21"/>
      <c r="I75" s="17"/>
    </row>
  </sheetData>
  <mergeCells count="4">
    <mergeCell ref="D48:F48"/>
    <mergeCell ref="A1:J1"/>
    <mergeCell ref="A2:J2"/>
    <mergeCell ref="A3:J3"/>
  </mergeCells>
  <phoneticPr fontId="0" type="noConversion"/>
  <pageMargins left="0.75" right="0.75" top="0.75" bottom="0.75" header="0.5" footer="0.5"/>
  <pageSetup orientation="portrait"/>
  <headerFooter alignWithMargins="0"/>
</worksheet>
</file>

<file path=xl/worksheets/sheet45.xml><?xml version="1.0" encoding="utf-8"?>
<worksheet xmlns="http://schemas.openxmlformats.org/spreadsheetml/2006/main" xmlns:r="http://schemas.openxmlformats.org/officeDocument/2006/relationships">
  <sheetPr>
    <pageSetUpPr fitToPage="1"/>
  </sheetPr>
  <dimension ref="A1:K15"/>
  <sheetViews>
    <sheetView workbookViewId="0">
      <selection activeCell="B46" sqref="B46"/>
    </sheetView>
  </sheetViews>
  <sheetFormatPr defaultColWidth="9.1640625" defaultRowHeight="12.75"/>
  <cols>
    <col min="1" max="1" width="40.1640625" customWidth="1"/>
    <col min="2" max="2" width="15.5" customWidth="1"/>
    <col min="3" max="3" width="3.83203125" customWidth="1"/>
    <col min="4" max="5" width="14.5" style="1" customWidth="1"/>
    <col min="6" max="6" width="14" style="1" customWidth="1"/>
    <col min="7" max="7" width="14.1640625" style="1" customWidth="1"/>
    <col min="8" max="8" width="14" style="1" customWidth="1"/>
    <col min="9" max="9" width="13.8320312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985</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723</v>
      </c>
      <c r="B11" s="1">
        <v>-384000</v>
      </c>
      <c r="D11" s="1">
        <v>-375399.67999999999</v>
      </c>
      <c r="E11" s="1">
        <v>33.44</v>
      </c>
      <c r="F11" s="1">
        <f>D11+E11</f>
        <v>-375366.24</v>
      </c>
      <c r="G11" s="1">
        <v>-375000</v>
      </c>
      <c r="H11" s="1">
        <v>-372501.68</v>
      </c>
      <c r="I11" s="1">
        <v>-362297.36</v>
      </c>
      <c r="J11" s="12">
        <f>B11/G11</f>
        <v>1.024</v>
      </c>
      <c r="K11">
        <f>F11*0.024</f>
        <v>-9008.7897599999997</v>
      </c>
    </row>
    <row r="12" spans="1:11">
      <c r="A12" s="11" t="s">
        <v>724</v>
      </c>
      <c r="B12" s="1">
        <v>375000</v>
      </c>
      <c r="D12" s="1">
        <v>0</v>
      </c>
      <c r="E12" s="1">
        <v>356804.41</v>
      </c>
      <c r="F12" s="1">
        <f>D12+E12</f>
        <v>356804.41</v>
      </c>
      <c r="G12" s="1">
        <v>365000</v>
      </c>
      <c r="H12" s="1">
        <v>313339.65999999997</v>
      </c>
      <c r="I12" s="1">
        <v>319862.32</v>
      </c>
      <c r="J12" s="12">
        <f>B12/G12</f>
        <v>1.0273972602739727</v>
      </c>
    </row>
    <row r="13" spans="1:11">
      <c r="B13" s="13" t="s">
        <v>21</v>
      </c>
      <c r="D13" s="13" t="s">
        <v>21</v>
      </c>
      <c r="E13" s="13"/>
      <c r="F13" s="13" t="s">
        <v>21</v>
      </c>
      <c r="G13" s="13" t="s">
        <v>21</v>
      </c>
      <c r="H13" s="13" t="s">
        <v>21</v>
      </c>
      <c r="I13" s="13" t="s">
        <v>21</v>
      </c>
      <c r="J13" s="13" t="s">
        <v>21</v>
      </c>
    </row>
    <row r="14" spans="1:11">
      <c r="A14" s="11" t="s">
        <v>22</v>
      </c>
      <c r="B14" s="1">
        <f>SUM(B11:B13)</f>
        <v>-9000</v>
      </c>
      <c r="C14" s="11"/>
      <c r="D14" s="1">
        <f>SUM(D11:D12)</f>
        <v>-375399.67999999999</v>
      </c>
      <c r="E14" s="1">
        <f>SUM(E11:E12)</f>
        <v>356837.85</v>
      </c>
      <c r="F14" s="1">
        <f>SUM(F11:F12)</f>
        <v>-18561.830000000016</v>
      </c>
      <c r="G14" s="1">
        <v>-10000</v>
      </c>
      <c r="H14" s="1">
        <v>-59162.02</v>
      </c>
      <c r="I14" s="1">
        <v>-42435.040000000001</v>
      </c>
      <c r="J14" s="12">
        <f>B14/G14</f>
        <v>0.9</v>
      </c>
      <c r="K14" s="11"/>
    </row>
    <row r="15" spans="1:11">
      <c r="B15" s="13" t="s">
        <v>21</v>
      </c>
      <c r="D15" s="13" t="s">
        <v>21</v>
      </c>
      <c r="E15" s="13"/>
      <c r="F15" s="13" t="s">
        <v>21</v>
      </c>
      <c r="G15" s="13" t="s">
        <v>21</v>
      </c>
      <c r="H15" s="13" t="s">
        <v>21</v>
      </c>
      <c r="I15" s="13" t="s">
        <v>21</v>
      </c>
      <c r="J15" s="13" t="s">
        <v>21</v>
      </c>
    </row>
  </sheetData>
  <mergeCells count="3">
    <mergeCell ref="A1:J1"/>
    <mergeCell ref="A2:J2"/>
    <mergeCell ref="A3:J3"/>
  </mergeCells>
  <phoneticPr fontId="0" type="noConversion"/>
  <pageMargins left="0.75" right="0.75" top="0.75" bottom="0.75" header="0.5" footer="0.5"/>
  <pageSetup orientation="portrait"/>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67"/>
  <sheetViews>
    <sheetView topLeftCell="A34" zoomScaleNormal="100" workbookViewId="0">
      <selection activeCell="A74" sqref="A74"/>
    </sheetView>
  </sheetViews>
  <sheetFormatPr defaultColWidth="9.1640625" defaultRowHeight="12.75" outlineLevelCol="1"/>
  <cols>
    <col min="1" max="1" width="55.5" customWidth="1"/>
    <col min="2" max="2" width="14.5" customWidth="1"/>
    <col min="3" max="3" width="4.16406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945</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C5" s="9"/>
      <c r="D5" s="42" t="s">
        <v>1</v>
      </c>
      <c r="E5" s="41" t="s">
        <v>760</v>
      </c>
      <c r="F5" s="43" t="s">
        <v>2</v>
      </c>
      <c r="J5" s="46" t="s">
        <v>8</v>
      </c>
    </row>
    <row r="6" spans="1:11">
      <c r="B6" s="9" t="s">
        <v>3</v>
      </c>
      <c r="C6" s="9"/>
      <c r="D6" s="42" t="s">
        <v>761</v>
      </c>
      <c r="E6" s="41" t="s">
        <v>759</v>
      </c>
      <c r="F6" s="43" t="s">
        <v>4</v>
      </c>
      <c r="G6" s="10" t="s">
        <v>4</v>
      </c>
      <c r="H6" s="10" t="s">
        <v>5</v>
      </c>
      <c r="I6" s="10" t="s">
        <v>6</v>
      </c>
      <c r="J6" s="10" t="s">
        <v>774</v>
      </c>
      <c r="K6" s="9" t="s">
        <v>7</v>
      </c>
    </row>
    <row r="7" spans="1:11">
      <c r="B7" s="9" t="s">
        <v>8</v>
      </c>
      <c r="C7" s="9"/>
      <c r="D7" s="42" t="s">
        <v>4</v>
      </c>
      <c r="E7" s="41" t="s">
        <v>5</v>
      </c>
      <c r="F7" s="43" t="s">
        <v>9</v>
      </c>
      <c r="G7" s="10" t="s">
        <v>8</v>
      </c>
      <c r="H7" s="10" t="s">
        <v>9</v>
      </c>
      <c r="I7" s="10" t="s">
        <v>9</v>
      </c>
      <c r="J7" s="10" t="s">
        <v>775</v>
      </c>
    </row>
    <row r="8" spans="1:11">
      <c r="A8" s="11" t="s">
        <v>10</v>
      </c>
    </row>
    <row r="9" spans="1:11">
      <c r="A9" s="11" t="s">
        <v>89</v>
      </c>
      <c r="B9" s="1">
        <v>-115000</v>
      </c>
      <c r="C9" s="1"/>
      <c r="D9" s="35">
        <v>-63590.98</v>
      </c>
      <c r="E9" s="1">
        <f>-46808.85+2500</f>
        <v>-44308.85</v>
      </c>
      <c r="F9" s="1">
        <f>D9+E9</f>
        <v>-107899.83</v>
      </c>
      <c r="G9" s="1">
        <v>-125000</v>
      </c>
      <c r="H9" s="1">
        <v>-112413.58</v>
      </c>
      <c r="I9" s="1">
        <v>-125117.82</v>
      </c>
      <c r="J9" s="12">
        <f t="shared" ref="J9:J20" si="0">B9/G9</f>
        <v>0.92</v>
      </c>
    </row>
    <row r="10" spans="1:11">
      <c r="A10" s="11" t="s">
        <v>90</v>
      </c>
      <c r="B10" s="1">
        <v>-150000</v>
      </c>
      <c r="C10" s="1"/>
      <c r="D10" s="35">
        <v>-88495.98</v>
      </c>
      <c r="E10" s="1">
        <v>-42023.29</v>
      </c>
      <c r="F10" s="1">
        <f t="shared" ref="F10:F60" si="1">D10+E10</f>
        <v>-130519.26999999999</v>
      </c>
      <c r="G10" s="1">
        <v>-130000</v>
      </c>
      <c r="H10" s="1">
        <v>-105127.97</v>
      </c>
      <c r="I10" s="1">
        <v>-176925.12</v>
      </c>
      <c r="J10" s="12">
        <f t="shared" si="0"/>
        <v>1.1538461538461537</v>
      </c>
    </row>
    <row r="11" spans="1:11">
      <c r="A11" s="11" t="s">
        <v>91</v>
      </c>
      <c r="B11" s="1">
        <v>-30000</v>
      </c>
      <c r="C11" s="1"/>
      <c r="D11" s="35">
        <v>-3203.07</v>
      </c>
      <c r="E11" s="1">
        <v>-7973.31</v>
      </c>
      <c r="F11" s="1">
        <f t="shared" si="1"/>
        <v>-11176.380000000001</v>
      </c>
      <c r="G11" s="1">
        <v>-46000</v>
      </c>
      <c r="H11" s="1">
        <v>-31274.57</v>
      </c>
      <c r="I11" s="1">
        <v>-46880.75</v>
      </c>
      <c r="J11" s="12">
        <f t="shared" si="0"/>
        <v>0.65217391304347827</v>
      </c>
    </row>
    <row r="12" spans="1:11">
      <c r="A12" s="11" t="s">
        <v>92</v>
      </c>
      <c r="B12" s="1">
        <v>-22000</v>
      </c>
      <c r="C12" s="1"/>
      <c r="D12" s="35">
        <v>-12519.44</v>
      </c>
      <c r="E12" s="1">
        <v>-8635.65</v>
      </c>
      <c r="F12" s="1">
        <f t="shared" si="1"/>
        <v>-21155.09</v>
      </c>
      <c r="G12" s="1">
        <v>-15000</v>
      </c>
      <c r="H12" s="1">
        <v>-18691.86</v>
      </c>
      <c r="I12" s="1">
        <v>-14745.39</v>
      </c>
      <c r="J12" s="12">
        <f t="shared" si="0"/>
        <v>1.4666666666666666</v>
      </c>
    </row>
    <row r="13" spans="1:11">
      <c r="A13" s="11" t="s">
        <v>93</v>
      </c>
      <c r="B13" s="1">
        <v>-50000</v>
      </c>
      <c r="C13" s="1"/>
      <c r="D13" s="35">
        <v>-49427.75</v>
      </c>
      <c r="E13" s="1">
        <f>-9602.46+4300</f>
        <v>-5302.4599999999991</v>
      </c>
      <c r="F13" s="1">
        <f t="shared" si="1"/>
        <v>-54730.21</v>
      </c>
      <c r="G13" s="1">
        <v>-60000</v>
      </c>
      <c r="H13" s="1">
        <v>-49434.48</v>
      </c>
      <c r="I13" s="1">
        <v>-48025.19</v>
      </c>
      <c r="J13" s="12">
        <f t="shared" si="0"/>
        <v>0.83333333333333337</v>
      </c>
    </row>
    <row r="14" spans="1:11">
      <c r="A14" s="11" t="s">
        <v>94</v>
      </c>
      <c r="B14" s="1">
        <v>-500</v>
      </c>
      <c r="C14" s="1"/>
      <c r="D14" s="35">
        <v>-310.10000000000002</v>
      </c>
      <c r="E14" s="1">
        <v>-245.2</v>
      </c>
      <c r="F14" s="1">
        <f t="shared" si="1"/>
        <v>-555.29999999999995</v>
      </c>
      <c r="G14" s="1">
        <v>-500</v>
      </c>
      <c r="H14" s="1">
        <v>-699.79</v>
      </c>
      <c r="I14" s="1">
        <v>-1016.7</v>
      </c>
      <c r="J14" s="12">
        <f t="shared" si="0"/>
        <v>1</v>
      </c>
    </row>
    <row r="15" spans="1:11">
      <c r="A15" s="11" t="s">
        <v>95</v>
      </c>
      <c r="B15" s="1">
        <v>-27000</v>
      </c>
      <c r="C15" s="1"/>
      <c r="E15" s="1">
        <v>-25000</v>
      </c>
      <c r="F15" s="1">
        <f t="shared" si="1"/>
        <v>-25000</v>
      </c>
      <c r="G15" s="1">
        <v>-25000</v>
      </c>
      <c r="H15" s="1">
        <v>-27700</v>
      </c>
      <c r="I15" s="1">
        <v>-25066.25</v>
      </c>
      <c r="J15" s="12">
        <f t="shared" si="0"/>
        <v>1.08</v>
      </c>
    </row>
    <row r="16" spans="1:11">
      <c r="A16" s="11" t="s">
        <v>96</v>
      </c>
      <c r="B16" s="1">
        <v>-13000</v>
      </c>
      <c r="C16" s="1"/>
      <c r="D16" s="35">
        <v>-3319.6</v>
      </c>
      <c r="E16" s="1">
        <v>-5860.03</v>
      </c>
      <c r="F16" s="1">
        <f t="shared" si="1"/>
        <v>-9179.6299999999992</v>
      </c>
      <c r="G16" s="1">
        <v>-7500</v>
      </c>
      <c r="H16" s="1">
        <v>-13124.5</v>
      </c>
      <c r="I16" s="1">
        <v>-9519.24</v>
      </c>
      <c r="J16" s="12">
        <f t="shared" si="0"/>
        <v>1.7333333333333334</v>
      </c>
    </row>
    <row r="17" spans="1:10">
      <c r="A17" s="11" t="s">
        <v>97</v>
      </c>
      <c r="B17" s="1">
        <v>-138000</v>
      </c>
      <c r="C17" s="1"/>
      <c r="D17" s="35">
        <v>-81317.25</v>
      </c>
      <c r="E17" s="1">
        <v>-55305.59</v>
      </c>
      <c r="F17" s="1">
        <f t="shared" si="1"/>
        <v>-136622.84</v>
      </c>
      <c r="G17" s="1">
        <v>-100000</v>
      </c>
      <c r="H17" s="1">
        <v>-116115.36</v>
      </c>
      <c r="I17" s="1">
        <v>-101527.39</v>
      </c>
      <c r="J17" s="12">
        <f t="shared" si="0"/>
        <v>1.38</v>
      </c>
    </row>
    <row r="18" spans="1:10">
      <c r="A18" s="11" t="s">
        <v>98</v>
      </c>
      <c r="B18" s="1">
        <v>-125000</v>
      </c>
      <c r="C18" s="1"/>
      <c r="D18" s="35">
        <v>-53618.47</v>
      </c>
      <c r="E18" s="1">
        <v>-52712.18</v>
      </c>
      <c r="F18" s="1">
        <f t="shared" si="1"/>
        <v>-106330.65</v>
      </c>
      <c r="G18" s="1">
        <v>-120000</v>
      </c>
      <c r="H18" s="1">
        <v>-139160.31</v>
      </c>
      <c r="J18" s="12">
        <f t="shared" si="0"/>
        <v>1.0416666666666667</v>
      </c>
    </row>
    <row r="19" spans="1:10">
      <c r="A19" s="11" t="s">
        <v>99</v>
      </c>
      <c r="B19" s="1">
        <v>-12000</v>
      </c>
      <c r="C19" s="1"/>
      <c r="D19" s="35">
        <v>-5300</v>
      </c>
      <c r="E19" s="1">
        <v>-6176.27</v>
      </c>
      <c r="F19" s="1">
        <f t="shared" si="1"/>
        <v>-11476.27</v>
      </c>
      <c r="G19" s="1">
        <v>-10000</v>
      </c>
      <c r="H19" s="1">
        <v>-11126.27</v>
      </c>
      <c r="I19" s="1">
        <v>-1041.6500000000001</v>
      </c>
      <c r="J19" s="12">
        <f t="shared" si="0"/>
        <v>1.2</v>
      </c>
    </row>
    <row r="20" spans="1:10">
      <c r="A20" s="11" t="s">
        <v>100</v>
      </c>
      <c r="B20" s="1">
        <v>-10000</v>
      </c>
      <c r="C20" s="1"/>
      <c r="D20" s="35">
        <v>-5645.96</v>
      </c>
      <c r="E20" s="1">
        <v>-2279.77</v>
      </c>
      <c r="F20" s="1">
        <f t="shared" si="1"/>
        <v>-7925.73</v>
      </c>
      <c r="G20" s="1">
        <v>-15000</v>
      </c>
      <c r="H20" s="1">
        <v>-3097.07</v>
      </c>
      <c r="I20" s="1">
        <v>-15600.13</v>
      </c>
      <c r="J20" s="12">
        <f t="shared" si="0"/>
        <v>0.66666666666666663</v>
      </c>
    </row>
    <row r="21" spans="1:10">
      <c r="A21" s="11" t="s">
        <v>101</v>
      </c>
      <c r="B21" s="1">
        <v>-13000</v>
      </c>
      <c r="C21" s="1"/>
      <c r="D21" s="35">
        <v>-8100.34</v>
      </c>
      <c r="E21" s="1">
        <v>0</v>
      </c>
      <c r="F21" s="1">
        <f t="shared" si="1"/>
        <v>-8100.34</v>
      </c>
      <c r="J21" s="12"/>
    </row>
    <row r="22" spans="1:10">
      <c r="A22" s="11" t="s">
        <v>102</v>
      </c>
      <c r="B22" s="1">
        <v>-10000</v>
      </c>
      <c r="C22" s="1"/>
      <c r="D22" s="35">
        <v>-7840.9</v>
      </c>
      <c r="E22" s="1">
        <f>536.4-2500</f>
        <v>-1963.6</v>
      </c>
      <c r="F22" s="1">
        <f t="shared" si="1"/>
        <v>-9804.5</v>
      </c>
      <c r="G22" s="1">
        <v>-750</v>
      </c>
      <c r="H22" s="1">
        <v>198.39</v>
      </c>
      <c r="I22" s="1">
        <v>2243.61</v>
      </c>
      <c r="J22" s="12">
        <f t="shared" ref="J22:J29" si="2">B22/G22</f>
        <v>13.333333333333334</v>
      </c>
    </row>
    <row r="23" spans="1:10">
      <c r="A23" s="11" t="s">
        <v>103</v>
      </c>
      <c r="B23" s="1">
        <v>-30000</v>
      </c>
      <c r="C23" s="1"/>
      <c r="D23" s="35">
        <v>-26856.14</v>
      </c>
      <c r="E23" s="1">
        <v>-2464.9499999999998</v>
      </c>
      <c r="F23" s="1">
        <f t="shared" si="1"/>
        <v>-29321.09</v>
      </c>
      <c r="G23" s="1">
        <v>-50000</v>
      </c>
      <c r="H23" s="1">
        <v>-20198.05</v>
      </c>
      <c r="I23" s="1">
        <v>-63718.99</v>
      </c>
      <c r="J23" s="12">
        <f t="shared" si="2"/>
        <v>0.6</v>
      </c>
    </row>
    <row r="24" spans="1:10">
      <c r="A24" s="11" t="s">
        <v>104</v>
      </c>
      <c r="B24" s="1">
        <v>-50</v>
      </c>
      <c r="C24" s="1"/>
      <c r="D24" s="35">
        <v>-17.850000000000001</v>
      </c>
      <c r="E24" s="1">
        <v>0</v>
      </c>
      <c r="F24" s="1">
        <f t="shared" si="1"/>
        <v>-17.850000000000001</v>
      </c>
      <c r="G24" s="1">
        <v>-1750</v>
      </c>
      <c r="H24" s="1">
        <v>-37.5</v>
      </c>
      <c r="I24" s="1">
        <v>-1830.75</v>
      </c>
      <c r="J24" s="12">
        <f t="shared" si="2"/>
        <v>2.8571428571428571E-2</v>
      </c>
    </row>
    <row r="25" spans="1:10">
      <c r="A25" s="11" t="s">
        <v>105</v>
      </c>
      <c r="B25" s="1">
        <v>-25000</v>
      </c>
      <c r="C25" s="1"/>
      <c r="D25" s="35">
        <v>-10447.57</v>
      </c>
      <c r="E25" s="1">
        <v>-4300</v>
      </c>
      <c r="F25" s="1">
        <f t="shared" si="1"/>
        <v>-14747.57</v>
      </c>
      <c r="G25" s="1">
        <v>-10000</v>
      </c>
      <c r="I25" s="1">
        <v>2</v>
      </c>
      <c r="J25" s="12">
        <f t="shared" si="2"/>
        <v>2.5</v>
      </c>
    </row>
    <row r="26" spans="1:10">
      <c r="A26" s="11" t="s">
        <v>106</v>
      </c>
      <c r="B26" s="56">
        <v>-12000</v>
      </c>
      <c r="C26" s="1"/>
      <c r="D26" s="35">
        <v>-5983</v>
      </c>
      <c r="E26" s="1">
        <v>0</v>
      </c>
      <c r="F26" s="1">
        <f t="shared" si="1"/>
        <v>-5983</v>
      </c>
      <c r="G26" s="1">
        <v>-12000</v>
      </c>
      <c r="H26" s="1">
        <v>-9281</v>
      </c>
      <c r="I26" s="1">
        <v>-13872</v>
      </c>
      <c r="J26" s="12">
        <f t="shared" si="2"/>
        <v>1</v>
      </c>
    </row>
    <row r="27" spans="1:10">
      <c r="A27" s="11" t="s">
        <v>107</v>
      </c>
      <c r="B27" s="1">
        <v>-17500</v>
      </c>
      <c r="C27" s="1"/>
      <c r="D27" s="35">
        <v>-24000</v>
      </c>
      <c r="E27" s="1">
        <v>0</v>
      </c>
      <c r="F27" s="1">
        <f t="shared" si="1"/>
        <v>-24000</v>
      </c>
      <c r="G27" s="1">
        <v>-17000</v>
      </c>
      <c r="H27" s="1">
        <v>-16200</v>
      </c>
      <c r="I27" s="1">
        <v>-17400</v>
      </c>
      <c r="J27" s="12">
        <f t="shared" si="2"/>
        <v>1.0294117647058822</v>
      </c>
    </row>
    <row r="28" spans="1:10">
      <c r="A28" s="11" t="s">
        <v>108</v>
      </c>
      <c r="B28" s="1">
        <v>-5000</v>
      </c>
      <c r="C28" s="1"/>
      <c r="D28" s="35"/>
      <c r="E28" s="1">
        <v>-4700</v>
      </c>
      <c r="F28" s="1">
        <f t="shared" si="1"/>
        <v>-4700</v>
      </c>
      <c r="G28" s="1">
        <v>-4500</v>
      </c>
      <c r="H28" s="1">
        <v>-5600</v>
      </c>
      <c r="I28" s="1">
        <v>-4500</v>
      </c>
      <c r="J28" s="12">
        <f t="shared" si="2"/>
        <v>1.1111111111111112</v>
      </c>
    </row>
    <row r="29" spans="1:10">
      <c r="A29" s="11" t="s">
        <v>109</v>
      </c>
      <c r="B29" s="1">
        <v>-75000</v>
      </c>
      <c r="C29" s="1"/>
      <c r="D29" s="35">
        <v>-86675</v>
      </c>
      <c r="E29" s="1">
        <v>4700</v>
      </c>
      <c r="F29" s="1">
        <f t="shared" si="1"/>
        <v>-81975</v>
      </c>
      <c r="G29" s="1">
        <v>-75000</v>
      </c>
      <c r="H29" s="1">
        <v>-71150</v>
      </c>
      <c r="I29" s="1">
        <v>-99477</v>
      </c>
      <c r="J29" s="12">
        <f t="shared" si="2"/>
        <v>1</v>
      </c>
    </row>
    <row r="30" spans="1:10">
      <c r="A30" s="11" t="s">
        <v>110</v>
      </c>
      <c r="B30" s="1">
        <v>0</v>
      </c>
      <c r="C30" s="1"/>
      <c r="E30" s="1">
        <v>0</v>
      </c>
      <c r="F30" s="1">
        <f t="shared" si="1"/>
        <v>0</v>
      </c>
      <c r="I30" s="1">
        <v>-40000</v>
      </c>
      <c r="J30" s="12"/>
    </row>
    <row r="31" spans="1:10">
      <c r="A31" s="11" t="s">
        <v>111</v>
      </c>
      <c r="B31" s="1">
        <v>35000</v>
      </c>
      <c r="C31" s="1"/>
      <c r="D31" s="35">
        <v>23462.12</v>
      </c>
      <c r="E31" s="1">
        <v>9427.51</v>
      </c>
      <c r="F31" s="1">
        <f t="shared" si="1"/>
        <v>32889.629999999997</v>
      </c>
      <c r="G31" s="1">
        <v>24000</v>
      </c>
      <c r="H31" s="1">
        <v>24124.23</v>
      </c>
      <c r="I31" s="1">
        <v>30122.62</v>
      </c>
      <c r="J31" s="12">
        <f t="shared" ref="J31:J43" si="3">B31/G31</f>
        <v>1.4583333333333333</v>
      </c>
    </row>
    <row r="32" spans="1:10">
      <c r="A32" s="11" t="s">
        <v>112</v>
      </c>
      <c r="B32" s="1">
        <v>30000</v>
      </c>
      <c r="C32" s="1"/>
      <c r="D32" s="35">
        <v>18458.919999999998</v>
      </c>
      <c r="E32" s="1">
        <v>3561.58</v>
      </c>
      <c r="F32" s="1">
        <f t="shared" si="1"/>
        <v>22020.5</v>
      </c>
      <c r="G32" s="1">
        <v>30000</v>
      </c>
      <c r="H32" s="1">
        <v>19091.419999999998</v>
      </c>
      <c r="J32" s="12">
        <f t="shared" si="3"/>
        <v>1</v>
      </c>
    </row>
    <row r="33" spans="1:10">
      <c r="A33" s="11" t="s">
        <v>113</v>
      </c>
      <c r="B33" s="1">
        <v>7000</v>
      </c>
      <c r="C33" s="1"/>
      <c r="D33" s="35">
        <v>4976.34</v>
      </c>
      <c r="E33" s="1">
        <v>1978.87</v>
      </c>
      <c r="F33" s="1">
        <f t="shared" si="1"/>
        <v>6955.21</v>
      </c>
      <c r="G33" s="1">
        <v>11000</v>
      </c>
      <c r="H33" s="1">
        <v>446.84</v>
      </c>
      <c r="I33" s="1">
        <v>13394.78</v>
      </c>
      <c r="J33" s="12">
        <f t="shared" si="3"/>
        <v>0.63636363636363635</v>
      </c>
    </row>
    <row r="34" spans="1:10">
      <c r="A34" s="11" t="s">
        <v>114</v>
      </c>
      <c r="B34" s="1">
        <v>65000</v>
      </c>
      <c r="C34" s="1"/>
      <c r="D34" s="35">
        <v>30578.32</v>
      </c>
      <c r="E34" s="1">
        <v>29465.47</v>
      </c>
      <c r="F34" s="1">
        <f t="shared" si="1"/>
        <v>60043.79</v>
      </c>
      <c r="G34" s="1">
        <v>74000</v>
      </c>
      <c r="H34" s="1">
        <v>66800.89</v>
      </c>
      <c r="I34" s="1">
        <v>52980.29</v>
      </c>
      <c r="J34" s="12">
        <f t="shared" si="3"/>
        <v>0.8783783783783784</v>
      </c>
    </row>
    <row r="35" spans="1:10">
      <c r="A35" s="11" t="s">
        <v>115</v>
      </c>
      <c r="B35" s="1">
        <v>225000</v>
      </c>
      <c r="C35" s="1"/>
      <c r="D35" s="35">
        <v>117646.83</v>
      </c>
      <c r="E35" s="1">
        <v>69372.2</v>
      </c>
      <c r="F35" s="1">
        <f t="shared" si="1"/>
        <v>187019.03</v>
      </c>
      <c r="G35" s="1">
        <v>180000</v>
      </c>
      <c r="H35" s="1">
        <v>158180.32</v>
      </c>
      <c r="I35" s="1">
        <v>195008.67</v>
      </c>
      <c r="J35" s="12">
        <f t="shared" si="3"/>
        <v>1.25</v>
      </c>
    </row>
    <row r="36" spans="1:10">
      <c r="A36" s="11" t="s">
        <v>116</v>
      </c>
      <c r="B36" s="1">
        <v>10000</v>
      </c>
      <c r="C36" s="1"/>
      <c r="D36" s="35">
        <v>3159.88</v>
      </c>
      <c r="E36" s="1">
        <v>5920.12</v>
      </c>
      <c r="F36" s="1">
        <f t="shared" si="1"/>
        <v>9080</v>
      </c>
      <c r="G36" s="1">
        <v>3500</v>
      </c>
      <c r="H36" s="1">
        <v>7903.77</v>
      </c>
      <c r="I36" s="1">
        <v>3568.31</v>
      </c>
      <c r="J36" s="12">
        <f t="shared" si="3"/>
        <v>2.8571428571428572</v>
      </c>
    </row>
    <row r="37" spans="1:10">
      <c r="A37" s="11" t="s">
        <v>117</v>
      </c>
      <c r="B37" s="1">
        <v>16000</v>
      </c>
      <c r="C37" s="1"/>
      <c r="D37" s="35">
        <v>13813.61</v>
      </c>
      <c r="E37" s="1">
        <v>2005.16</v>
      </c>
      <c r="F37" s="1">
        <f t="shared" si="1"/>
        <v>15818.77</v>
      </c>
      <c r="G37" s="1">
        <v>15000</v>
      </c>
      <c r="H37" s="1">
        <v>15323.76</v>
      </c>
      <c r="I37" s="1">
        <v>12852.92</v>
      </c>
      <c r="J37" s="12">
        <f t="shared" si="3"/>
        <v>1.0666666666666667</v>
      </c>
    </row>
    <row r="38" spans="1:10">
      <c r="A38" s="11" t="s">
        <v>118</v>
      </c>
      <c r="B38" s="1">
        <v>2000</v>
      </c>
      <c r="C38" s="1"/>
      <c r="D38" s="35">
        <v>438.72</v>
      </c>
      <c r="E38" s="1">
        <v>0</v>
      </c>
      <c r="F38" s="1">
        <f t="shared" si="1"/>
        <v>438.72</v>
      </c>
      <c r="G38" s="1">
        <v>2500</v>
      </c>
      <c r="J38" s="12">
        <f t="shared" si="3"/>
        <v>0.8</v>
      </c>
    </row>
    <row r="39" spans="1:10">
      <c r="A39" s="11" t="s">
        <v>119</v>
      </c>
      <c r="B39" s="1">
        <v>7250</v>
      </c>
      <c r="C39" s="1"/>
      <c r="D39" s="35">
        <v>7000</v>
      </c>
      <c r="E39" s="1">
        <v>0</v>
      </c>
      <c r="F39" s="1">
        <f t="shared" si="1"/>
        <v>7000</v>
      </c>
      <c r="G39" s="1">
        <v>7000</v>
      </c>
      <c r="H39" s="1">
        <v>7000</v>
      </c>
      <c r="I39" s="1">
        <v>7000</v>
      </c>
      <c r="J39" s="12">
        <f t="shared" si="3"/>
        <v>1.0357142857142858</v>
      </c>
    </row>
    <row r="40" spans="1:10">
      <c r="A40" s="11" t="s">
        <v>120</v>
      </c>
      <c r="B40" s="1">
        <v>37000</v>
      </c>
      <c r="C40" s="1"/>
      <c r="D40" s="35">
        <v>35750</v>
      </c>
      <c r="E40" s="1">
        <v>0</v>
      </c>
      <c r="F40" s="1">
        <f t="shared" si="1"/>
        <v>35750</v>
      </c>
      <c r="G40" s="1">
        <v>36000</v>
      </c>
      <c r="H40" s="1">
        <v>35853.1</v>
      </c>
      <c r="I40" s="1">
        <v>37000</v>
      </c>
      <c r="J40" s="12">
        <f t="shared" si="3"/>
        <v>1.0277777777777777</v>
      </c>
    </row>
    <row r="41" spans="1:10">
      <c r="A41" s="11" t="s">
        <v>121</v>
      </c>
      <c r="B41" s="1">
        <v>3000</v>
      </c>
      <c r="C41" s="1"/>
      <c r="D41" s="35">
        <v>5321.8</v>
      </c>
      <c r="E41" s="1">
        <v>130.75</v>
      </c>
      <c r="F41" s="1">
        <f t="shared" si="1"/>
        <v>5452.55</v>
      </c>
      <c r="G41" s="1">
        <v>2000</v>
      </c>
      <c r="H41" s="1">
        <v>2294.52</v>
      </c>
      <c r="I41" s="1">
        <v>1586.94</v>
      </c>
      <c r="J41" s="12">
        <f t="shared" si="3"/>
        <v>1.5</v>
      </c>
    </row>
    <row r="42" spans="1:10">
      <c r="A42" s="11" t="s">
        <v>122</v>
      </c>
      <c r="B42" s="1">
        <v>500</v>
      </c>
      <c r="C42" s="1"/>
      <c r="D42" s="35">
        <v>177.92</v>
      </c>
      <c r="E42" s="1">
        <v>165.5</v>
      </c>
      <c r="F42" s="1">
        <f t="shared" si="1"/>
        <v>343.41999999999996</v>
      </c>
      <c r="G42" s="1">
        <v>750</v>
      </c>
      <c r="H42" s="1">
        <v>314.57</v>
      </c>
      <c r="I42" s="1">
        <v>2652.23</v>
      </c>
      <c r="J42" s="12">
        <f t="shared" si="3"/>
        <v>0.66666666666666663</v>
      </c>
    </row>
    <row r="43" spans="1:10">
      <c r="A43" s="11" t="s">
        <v>123</v>
      </c>
      <c r="B43" s="1">
        <v>4200</v>
      </c>
      <c r="C43" s="1"/>
      <c r="D43" s="35">
        <v>2426.35</v>
      </c>
      <c r="E43" s="1">
        <v>1677.01</v>
      </c>
      <c r="F43" s="1">
        <f t="shared" si="1"/>
        <v>4103.3599999999997</v>
      </c>
      <c r="G43" s="1">
        <v>4000</v>
      </c>
      <c r="H43" s="1">
        <v>4664.25</v>
      </c>
      <c r="I43" s="1">
        <v>3722.53</v>
      </c>
      <c r="J43" s="12">
        <f t="shared" si="3"/>
        <v>1.05</v>
      </c>
    </row>
    <row r="44" spans="1:10">
      <c r="A44" s="11" t="s">
        <v>124</v>
      </c>
      <c r="B44" s="1">
        <v>0</v>
      </c>
      <c r="C44" s="1"/>
      <c r="E44" s="1">
        <v>0</v>
      </c>
      <c r="F44" s="1">
        <f t="shared" si="1"/>
        <v>0</v>
      </c>
      <c r="H44" s="1">
        <v>0.03</v>
      </c>
      <c r="I44" s="1">
        <v>0.06</v>
      </c>
      <c r="J44" s="12"/>
    </row>
    <row r="45" spans="1:10">
      <c r="A45" s="11" t="s">
        <v>125</v>
      </c>
      <c r="B45" s="1">
        <v>0</v>
      </c>
      <c r="C45" s="1"/>
      <c r="E45" s="1">
        <v>0</v>
      </c>
      <c r="F45" s="1">
        <f t="shared" si="1"/>
        <v>0</v>
      </c>
      <c r="I45" s="1">
        <v>308.7</v>
      </c>
      <c r="J45" s="12"/>
    </row>
    <row r="46" spans="1:10">
      <c r="A46" s="11" t="s">
        <v>126</v>
      </c>
      <c r="B46" s="1">
        <v>0</v>
      </c>
      <c r="C46" s="1"/>
      <c r="E46" s="1">
        <v>0</v>
      </c>
      <c r="F46" s="1">
        <f t="shared" si="1"/>
        <v>0</v>
      </c>
      <c r="I46" s="1">
        <v>2208.37</v>
      </c>
      <c r="J46" s="12"/>
    </row>
    <row r="47" spans="1:10">
      <c r="A47" s="11" t="s">
        <v>127</v>
      </c>
      <c r="B47" s="1">
        <v>0</v>
      </c>
      <c r="C47" s="1"/>
      <c r="E47" s="1">
        <v>0</v>
      </c>
      <c r="F47" s="1">
        <f t="shared" si="1"/>
        <v>0</v>
      </c>
      <c r="H47" s="1">
        <v>10</v>
      </c>
      <c r="J47" s="12"/>
    </row>
    <row r="48" spans="1:10">
      <c r="A48" s="11" t="s">
        <v>128</v>
      </c>
      <c r="B48" s="1">
        <v>2000</v>
      </c>
      <c r="C48" s="1"/>
      <c r="D48" s="35">
        <v>1634.27</v>
      </c>
      <c r="E48" s="1">
        <v>548</v>
      </c>
      <c r="F48" s="1">
        <f t="shared" si="1"/>
        <v>2182.27</v>
      </c>
      <c r="G48" s="1">
        <v>1000</v>
      </c>
      <c r="H48" s="1">
        <v>798</v>
      </c>
      <c r="I48" s="1">
        <v>2147.6999999999998</v>
      </c>
      <c r="J48" s="12">
        <f t="shared" ref="J48:J62" si="4">B48/G48</f>
        <v>2</v>
      </c>
    </row>
    <row r="49" spans="1:11">
      <c r="A49" s="11" t="s">
        <v>129</v>
      </c>
      <c r="B49" s="1">
        <v>250</v>
      </c>
      <c r="C49" s="1"/>
      <c r="D49" s="35">
        <v>15</v>
      </c>
      <c r="E49" s="1">
        <v>0</v>
      </c>
      <c r="F49" s="1">
        <f t="shared" si="1"/>
        <v>15</v>
      </c>
      <c r="G49" s="1">
        <v>250</v>
      </c>
      <c r="I49" s="1">
        <v>100</v>
      </c>
      <c r="J49" s="12">
        <f t="shared" si="4"/>
        <v>1</v>
      </c>
    </row>
    <row r="50" spans="1:11">
      <c r="A50" s="11" t="s">
        <v>130</v>
      </c>
      <c r="B50" s="1">
        <v>1500</v>
      </c>
      <c r="C50" s="1"/>
      <c r="D50" s="35">
        <v>239.25</v>
      </c>
      <c r="E50" s="1">
        <v>929.85</v>
      </c>
      <c r="F50" s="1">
        <f t="shared" si="1"/>
        <v>1169.0999999999999</v>
      </c>
      <c r="G50" s="1">
        <v>2000</v>
      </c>
      <c r="H50" s="1">
        <v>908.36</v>
      </c>
      <c r="I50" s="1">
        <v>2099.39</v>
      </c>
      <c r="J50" s="12">
        <f t="shared" si="4"/>
        <v>0.75</v>
      </c>
    </row>
    <row r="51" spans="1:11">
      <c r="A51" s="11" t="s">
        <v>925</v>
      </c>
      <c r="B51" s="38">
        <v>3500</v>
      </c>
      <c r="C51" s="1"/>
      <c r="D51" s="35"/>
      <c r="E51" s="1">
        <v>0</v>
      </c>
      <c r="F51" s="1">
        <f t="shared" si="1"/>
        <v>0</v>
      </c>
      <c r="G51" s="1">
        <v>1000</v>
      </c>
      <c r="H51" s="1">
        <v>199.43</v>
      </c>
      <c r="I51" s="1">
        <v>1327.39</v>
      </c>
      <c r="J51" s="12">
        <f t="shared" si="4"/>
        <v>3.5</v>
      </c>
    </row>
    <row r="52" spans="1:11">
      <c r="A52" s="11" t="s">
        <v>131</v>
      </c>
      <c r="B52" s="1">
        <v>400</v>
      </c>
      <c r="C52" s="1"/>
      <c r="D52" s="35">
        <v>274.33999999999997</v>
      </c>
      <c r="E52" s="1">
        <v>170.12</v>
      </c>
      <c r="F52" s="1">
        <f t="shared" si="1"/>
        <v>444.46</v>
      </c>
      <c r="G52" s="1">
        <v>400</v>
      </c>
      <c r="H52" s="1">
        <v>282.39</v>
      </c>
      <c r="I52" s="1">
        <v>169.34</v>
      </c>
      <c r="J52" s="12">
        <f t="shared" si="4"/>
        <v>1</v>
      </c>
    </row>
    <row r="53" spans="1:11">
      <c r="A53" s="11" t="s">
        <v>132</v>
      </c>
      <c r="B53" s="1">
        <f>345000</f>
        <v>345000</v>
      </c>
      <c r="C53" s="1"/>
      <c r="D53" s="35">
        <v>235642.65</v>
      </c>
      <c r="E53" s="1">
        <v>100946.74</v>
      </c>
      <c r="F53" s="1">
        <f t="shared" si="1"/>
        <v>336589.39</v>
      </c>
      <c r="G53" s="1">
        <v>331000</v>
      </c>
      <c r="H53" s="1">
        <v>332303.77</v>
      </c>
      <c r="I53" s="1">
        <v>314094.93</v>
      </c>
      <c r="J53" s="12">
        <f t="shared" si="4"/>
        <v>1.042296072507553</v>
      </c>
    </row>
    <row r="54" spans="1:11">
      <c r="A54" s="11" t="s">
        <v>133</v>
      </c>
      <c r="B54" s="1">
        <v>0</v>
      </c>
      <c r="C54" s="1"/>
      <c r="D54" s="35"/>
      <c r="E54" s="1">
        <v>0</v>
      </c>
      <c r="F54" s="1">
        <f t="shared" si="1"/>
        <v>0</v>
      </c>
      <c r="I54" s="1">
        <v>14438.7</v>
      </c>
      <c r="J54" s="12"/>
    </row>
    <row r="55" spans="1:11">
      <c r="A55" s="11" t="s">
        <v>134</v>
      </c>
      <c r="B55" s="1">
        <v>26000</v>
      </c>
      <c r="C55" s="1"/>
      <c r="D55" s="35">
        <v>17159.810000000001</v>
      </c>
      <c r="E55" s="1">
        <v>8636.0400000000009</v>
      </c>
      <c r="F55" s="1">
        <f t="shared" si="1"/>
        <v>25795.850000000002</v>
      </c>
      <c r="G55" s="1">
        <v>31000</v>
      </c>
      <c r="H55" s="1">
        <v>24835.87</v>
      </c>
      <c r="I55" s="1">
        <v>26777.69</v>
      </c>
      <c r="J55" s="12">
        <f t="shared" si="4"/>
        <v>0.83870967741935487</v>
      </c>
    </row>
    <row r="56" spans="1:11">
      <c r="A56" s="11" t="s">
        <v>135</v>
      </c>
      <c r="B56" s="1">
        <v>3000</v>
      </c>
      <c r="C56" s="1"/>
      <c r="D56" s="35">
        <v>1686.74</v>
      </c>
      <c r="E56" s="1">
        <v>1625.74</v>
      </c>
      <c r="F56" s="1">
        <f t="shared" si="1"/>
        <v>3312.48</v>
      </c>
      <c r="G56" s="1">
        <v>2500</v>
      </c>
      <c r="H56" s="1">
        <v>4282.96</v>
      </c>
      <c r="I56" s="1">
        <v>2776.31</v>
      </c>
      <c r="J56" s="12">
        <f t="shared" si="4"/>
        <v>1.2</v>
      </c>
    </row>
    <row r="57" spans="1:11">
      <c r="A57" s="11" t="s">
        <v>136</v>
      </c>
      <c r="B57" s="1">
        <v>0</v>
      </c>
      <c r="C57" s="1"/>
      <c r="D57" s="35">
        <v>488.19</v>
      </c>
      <c r="E57" s="1">
        <v>-473.53</v>
      </c>
      <c r="F57" s="1">
        <f t="shared" si="1"/>
        <v>14.660000000000025</v>
      </c>
      <c r="G57" s="1">
        <v>250</v>
      </c>
      <c r="H57" s="1">
        <v>-323.36</v>
      </c>
      <c r="I57" s="1">
        <v>58.93</v>
      </c>
      <c r="J57" s="12">
        <f t="shared" si="4"/>
        <v>0</v>
      </c>
    </row>
    <row r="58" spans="1:11">
      <c r="A58" s="11" t="s">
        <v>137</v>
      </c>
      <c r="B58" s="1">
        <v>500</v>
      </c>
      <c r="C58" s="1"/>
      <c r="D58" s="35"/>
      <c r="E58" s="1">
        <v>0</v>
      </c>
      <c r="F58" s="1">
        <f t="shared" si="1"/>
        <v>0</v>
      </c>
      <c r="G58" s="1">
        <v>1000</v>
      </c>
      <c r="I58" s="1">
        <v>4510.0200000000004</v>
      </c>
      <c r="J58" s="12">
        <f t="shared" si="4"/>
        <v>0.5</v>
      </c>
    </row>
    <row r="59" spans="1:11">
      <c r="A59" s="11" t="s">
        <v>138</v>
      </c>
      <c r="B59" s="87">
        <v>7600</v>
      </c>
      <c r="C59" s="1"/>
      <c r="D59" s="35">
        <v>3155.06</v>
      </c>
      <c r="E59" s="1">
        <v>3308.95</v>
      </c>
      <c r="F59" s="1">
        <f t="shared" si="1"/>
        <v>6464.01</v>
      </c>
      <c r="G59" s="1">
        <v>8630</v>
      </c>
      <c r="H59" s="1">
        <v>6097.66</v>
      </c>
      <c r="I59" s="1">
        <v>4649.7</v>
      </c>
      <c r="J59" s="12">
        <f t="shared" si="4"/>
        <v>0.88064889918887601</v>
      </c>
    </row>
    <row r="60" spans="1:11">
      <c r="A60" s="11" t="s">
        <v>139</v>
      </c>
      <c r="B60" s="1">
        <v>10000</v>
      </c>
      <c r="C60" s="1"/>
      <c r="D60" s="35">
        <v>1566.69</v>
      </c>
      <c r="E60" s="1">
        <v>4464.05</v>
      </c>
      <c r="F60" s="1">
        <f t="shared" si="1"/>
        <v>6030.74</v>
      </c>
      <c r="G60" s="1">
        <v>10000</v>
      </c>
      <c r="H60" s="1">
        <v>9214.5400000000009</v>
      </c>
      <c r="I60" s="1">
        <v>9291.94</v>
      </c>
      <c r="J60" s="12">
        <f t="shared" si="4"/>
        <v>1</v>
      </c>
    </row>
    <row r="61" spans="1:11">
      <c r="B61" s="13" t="s">
        <v>21</v>
      </c>
      <c r="C61" s="13"/>
      <c r="D61" s="13" t="s">
        <v>21</v>
      </c>
      <c r="E61" s="13"/>
      <c r="F61" s="13" t="s">
        <v>21</v>
      </c>
      <c r="G61" s="13" t="s">
        <v>21</v>
      </c>
      <c r="H61" s="13" t="s">
        <v>21</v>
      </c>
      <c r="I61" s="13" t="s">
        <v>21</v>
      </c>
      <c r="J61" s="13" t="s">
        <v>21</v>
      </c>
    </row>
    <row r="62" spans="1:11">
      <c r="A62" s="11" t="s">
        <v>22</v>
      </c>
      <c r="B62" s="58">
        <f>SUM(B9:B60)</f>
        <v>-38350</v>
      </c>
      <c r="C62" s="15"/>
      <c r="D62" s="1">
        <f>SUM(D9:D60)</f>
        <v>-11596.590000000158</v>
      </c>
      <c r="E62" s="1">
        <f>SUM(E9:E60)</f>
        <v>-20691.02</v>
      </c>
      <c r="F62" s="1">
        <f>SUM(F9:F60)</f>
        <v>-32287.609999999906</v>
      </c>
      <c r="G62" s="1">
        <v>-46220</v>
      </c>
      <c r="H62" s="1">
        <v>-29626.5999999999</v>
      </c>
      <c r="I62" s="1">
        <v>-59170.299999999901</v>
      </c>
      <c r="J62" s="12">
        <f t="shared" si="4"/>
        <v>0.8297273907399394</v>
      </c>
      <c r="K62" s="11"/>
    </row>
    <row r="63" spans="1:11">
      <c r="B63" s="13" t="s">
        <v>21</v>
      </c>
      <c r="C63" s="13"/>
      <c r="D63" s="13" t="s">
        <v>21</v>
      </c>
      <c r="E63" s="13"/>
      <c r="F63" s="13" t="s">
        <v>21</v>
      </c>
      <c r="G63" s="13" t="s">
        <v>21</v>
      </c>
      <c r="H63" s="13" t="s">
        <v>21</v>
      </c>
      <c r="I63" s="13" t="s">
        <v>21</v>
      </c>
      <c r="J63" s="13" t="s">
        <v>21</v>
      </c>
    </row>
    <row r="64" spans="1:11">
      <c r="B64" s="14"/>
      <c r="C64" s="14"/>
    </row>
    <row r="65" spans="1:3">
      <c r="B65" s="64"/>
      <c r="C65" s="14"/>
    </row>
    <row r="66" spans="1:3">
      <c r="A66" s="62" t="s">
        <v>809</v>
      </c>
    </row>
    <row r="67" spans="1:3">
      <c r="A67" t="s">
        <v>926</v>
      </c>
    </row>
  </sheetData>
  <mergeCells count="3">
    <mergeCell ref="A1:J1"/>
    <mergeCell ref="A2:J2"/>
    <mergeCell ref="A3:J3"/>
  </mergeCells>
  <phoneticPr fontId="0" type="noConversion"/>
  <pageMargins left="0.75" right="0.75" top="0.75" bottom="0.7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M70"/>
  <sheetViews>
    <sheetView zoomScaleNormal="100" workbookViewId="0">
      <pane ySplit="8" topLeftCell="A36" activePane="bottomLeft" state="frozenSplit"/>
      <selection pane="bottomLeft" activeCell="A69" sqref="A69"/>
    </sheetView>
  </sheetViews>
  <sheetFormatPr defaultColWidth="9.1640625" defaultRowHeight="12.75" outlineLevelCol="1"/>
  <cols>
    <col min="1" max="1" width="55.5" customWidth="1"/>
    <col min="2" max="2" width="14.5" customWidth="1"/>
    <col min="3" max="3" width="3.332031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946</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C5" s="9"/>
      <c r="D5" s="42" t="s">
        <v>1</v>
      </c>
      <c r="E5" s="41" t="s">
        <v>760</v>
      </c>
      <c r="F5" s="43" t="s">
        <v>2</v>
      </c>
      <c r="J5" s="46" t="s">
        <v>8</v>
      </c>
    </row>
    <row r="6" spans="1:11">
      <c r="B6" s="9" t="s">
        <v>3</v>
      </c>
      <c r="C6" s="9"/>
      <c r="D6" s="42" t="s">
        <v>761</v>
      </c>
      <c r="E6" s="41" t="s">
        <v>759</v>
      </c>
      <c r="F6" s="43" t="s">
        <v>4</v>
      </c>
      <c r="G6" s="10" t="s">
        <v>4</v>
      </c>
      <c r="H6" s="10" t="s">
        <v>5</v>
      </c>
      <c r="I6" s="10" t="s">
        <v>6</v>
      </c>
      <c r="J6" s="10" t="s">
        <v>774</v>
      </c>
      <c r="K6" s="9" t="s">
        <v>7</v>
      </c>
    </row>
    <row r="7" spans="1:11">
      <c r="B7" s="9" t="s">
        <v>8</v>
      </c>
      <c r="C7" s="9"/>
      <c r="D7" s="42" t="s">
        <v>4</v>
      </c>
      <c r="E7" s="41" t="s">
        <v>5</v>
      </c>
      <c r="F7" s="43" t="s">
        <v>9</v>
      </c>
      <c r="G7" s="10" t="s">
        <v>8</v>
      </c>
      <c r="H7" s="10" t="s">
        <v>9</v>
      </c>
      <c r="I7" s="10" t="s">
        <v>9</v>
      </c>
      <c r="J7" s="10" t="s">
        <v>775</v>
      </c>
    </row>
    <row r="10" spans="1:11">
      <c r="A10" s="11" t="s">
        <v>10</v>
      </c>
    </row>
    <row r="11" spans="1:11">
      <c r="A11" s="11" t="s">
        <v>140</v>
      </c>
      <c r="B11" s="1">
        <v>-65000</v>
      </c>
      <c r="C11" s="1"/>
      <c r="D11" s="35">
        <v>-34076.06</v>
      </c>
      <c r="E11" s="1">
        <v>-27093.26</v>
      </c>
      <c r="F11" s="1">
        <f>D11+E11</f>
        <v>-61169.319999999992</v>
      </c>
      <c r="G11" s="1">
        <v>-42000</v>
      </c>
      <c r="H11" s="1">
        <v>-52784.36</v>
      </c>
      <c r="I11" s="1">
        <v>-69648.34</v>
      </c>
      <c r="J11" s="12">
        <f t="shared" ref="J11:J43" si="0">B11/G11</f>
        <v>1.5476190476190477</v>
      </c>
    </row>
    <row r="12" spans="1:11">
      <c r="A12" s="11" t="s">
        <v>141</v>
      </c>
      <c r="B12" s="1">
        <v>-122000</v>
      </c>
      <c r="C12" s="1"/>
      <c r="D12" s="35">
        <v>-58800.46</v>
      </c>
      <c r="E12" s="1">
        <v>-62433.65</v>
      </c>
      <c r="F12" s="1">
        <f t="shared" ref="F12:F61" si="1">D12+E12</f>
        <v>-121234.11</v>
      </c>
      <c r="G12" s="1">
        <v>-109250</v>
      </c>
      <c r="H12" s="1">
        <v>-120185.1</v>
      </c>
      <c r="I12" s="1">
        <v>-105008.77</v>
      </c>
      <c r="J12" s="12">
        <f t="shared" si="0"/>
        <v>1.1167048054919908</v>
      </c>
    </row>
    <row r="13" spans="1:11">
      <c r="A13" s="11" t="s">
        <v>142</v>
      </c>
      <c r="B13" s="1">
        <v>-175000</v>
      </c>
      <c r="C13" s="1"/>
      <c r="D13" s="35">
        <v>-87006.39</v>
      </c>
      <c r="E13" s="1">
        <v>-77648.58</v>
      </c>
      <c r="F13" s="1">
        <f t="shared" si="1"/>
        <v>-164654.97</v>
      </c>
      <c r="G13" s="1">
        <v>-161000</v>
      </c>
      <c r="H13" s="1">
        <v>-160883.65</v>
      </c>
      <c r="I13" s="1">
        <v>-188789.41</v>
      </c>
      <c r="J13" s="12">
        <f t="shared" si="0"/>
        <v>1.0869565217391304</v>
      </c>
    </row>
    <row r="14" spans="1:11">
      <c r="A14" s="11" t="s">
        <v>143</v>
      </c>
      <c r="B14" s="1">
        <v>0</v>
      </c>
      <c r="C14" s="1"/>
      <c r="D14" s="35">
        <v>-212.5</v>
      </c>
      <c r="E14" s="1">
        <v>-786.27</v>
      </c>
      <c r="F14" s="1">
        <f t="shared" si="1"/>
        <v>-998.77</v>
      </c>
      <c r="G14" s="1">
        <v>-200</v>
      </c>
      <c r="H14" s="1">
        <v>-786.27</v>
      </c>
      <c r="I14" s="1">
        <v>-210</v>
      </c>
      <c r="J14" s="12">
        <f t="shared" si="0"/>
        <v>0</v>
      </c>
    </row>
    <row r="15" spans="1:11">
      <c r="A15" s="11" t="s">
        <v>144</v>
      </c>
      <c r="B15" s="1">
        <v>-5500</v>
      </c>
      <c r="C15" s="1"/>
      <c r="D15" s="35">
        <v>-3152.12</v>
      </c>
      <c r="E15" s="1">
        <v>-2619.15</v>
      </c>
      <c r="F15" s="1">
        <f t="shared" si="1"/>
        <v>-5771.27</v>
      </c>
      <c r="G15" s="1">
        <v>-5000</v>
      </c>
      <c r="H15" s="1">
        <v>-5090.1499999999996</v>
      </c>
      <c r="I15" s="1">
        <v>-5123.68</v>
      </c>
      <c r="J15" s="12">
        <f t="shared" si="0"/>
        <v>1.1000000000000001</v>
      </c>
    </row>
    <row r="16" spans="1:11">
      <c r="A16" s="11" t="s">
        <v>145</v>
      </c>
      <c r="B16" s="1">
        <v>-23000</v>
      </c>
      <c r="C16" s="1"/>
      <c r="D16" s="35">
        <v>-15446.17</v>
      </c>
      <c r="E16" s="1">
        <v>-9013.2000000000007</v>
      </c>
      <c r="F16" s="1">
        <f t="shared" si="1"/>
        <v>-24459.370000000003</v>
      </c>
      <c r="G16" s="1">
        <v>-19500</v>
      </c>
      <c r="H16" s="1">
        <v>-19613.63</v>
      </c>
      <c r="I16" s="1">
        <v>-22683.06</v>
      </c>
      <c r="J16" s="12">
        <f t="shared" si="0"/>
        <v>1.1794871794871795</v>
      </c>
    </row>
    <row r="17" spans="1:13">
      <c r="A17" s="11" t="s">
        <v>146</v>
      </c>
      <c r="B17" s="1">
        <v>-545000</v>
      </c>
      <c r="C17" s="1"/>
      <c r="D17" s="35">
        <v>-333648.43</v>
      </c>
      <c r="E17" s="1">
        <v>-239558.68</v>
      </c>
      <c r="F17" s="1">
        <f t="shared" si="1"/>
        <v>-573207.11</v>
      </c>
      <c r="G17" s="1">
        <v>-470000</v>
      </c>
      <c r="H17" s="1">
        <v>-501907.1</v>
      </c>
      <c r="I17" s="1">
        <v>-494264.15</v>
      </c>
      <c r="J17" s="12">
        <f t="shared" si="0"/>
        <v>1.1595744680851063</v>
      </c>
    </row>
    <row r="18" spans="1:13">
      <c r="A18" s="11" t="s">
        <v>147</v>
      </c>
      <c r="B18" s="1">
        <v>0</v>
      </c>
      <c r="C18" s="1"/>
      <c r="D18" s="35">
        <v>-4320</v>
      </c>
      <c r="E18" s="1">
        <v>0</v>
      </c>
      <c r="F18" s="1">
        <f t="shared" si="1"/>
        <v>-4320</v>
      </c>
      <c r="G18" s="1">
        <v>-25000</v>
      </c>
      <c r="I18" s="1">
        <v>-2727.5</v>
      </c>
      <c r="J18" s="12">
        <f t="shared" si="0"/>
        <v>0</v>
      </c>
    </row>
    <row r="19" spans="1:13">
      <c r="A19" s="11" t="s">
        <v>148</v>
      </c>
      <c r="B19" s="1">
        <v>-65000</v>
      </c>
      <c r="C19" s="1"/>
      <c r="D19" s="35">
        <v>-34056.86</v>
      </c>
      <c r="E19" s="1">
        <v>-29682.84</v>
      </c>
      <c r="F19" s="1">
        <f t="shared" si="1"/>
        <v>-63739.7</v>
      </c>
      <c r="G19" s="1">
        <v>-50000</v>
      </c>
      <c r="H19" s="1">
        <v>-72916.12</v>
      </c>
      <c r="I19" s="1">
        <v>-51580.52</v>
      </c>
      <c r="J19" s="12">
        <f t="shared" si="0"/>
        <v>1.3</v>
      </c>
    </row>
    <row r="20" spans="1:13">
      <c r="A20" s="11" t="s">
        <v>149</v>
      </c>
      <c r="B20" s="1">
        <v>-8000</v>
      </c>
      <c r="C20" s="1"/>
      <c r="D20" s="35">
        <v>-2090.37</v>
      </c>
      <c r="E20" s="1">
        <v>-5973.75</v>
      </c>
      <c r="F20" s="1">
        <f t="shared" si="1"/>
        <v>-8064.12</v>
      </c>
      <c r="G20" s="1">
        <v>-12000</v>
      </c>
      <c r="H20" s="1">
        <v>-7798.58</v>
      </c>
      <c r="I20" s="1">
        <v>-39076.730000000003</v>
      </c>
      <c r="J20" s="12">
        <f t="shared" si="0"/>
        <v>0.66666666666666663</v>
      </c>
    </row>
    <row r="21" spans="1:13">
      <c r="A21" s="11" t="s">
        <v>150</v>
      </c>
      <c r="B21" s="1">
        <v>-1000</v>
      </c>
      <c r="C21" s="1"/>
      <c r="D21" s="35">
        <v>376.71</v>
      </c>
      <c r="E21" s="1">
        <v>608.22</v>
      </c>
      <c r="F21" s="1">
        <f t="shared" si="1"/>
        <v>984.93000000000006</v>
      </c>
      <c r="G21" s="1">
        <v>-1000</v>
      </c>
      <c r="H21" s="1">
        <v>71.66</v>
      </c>
      <c r="I21" s="1">
        <v>1613.53</v>
      </c>
      <c r="J21" s="12">
        <f t="shared" si="0"/>
        <v>1</v>
      </c>
    </row>
    <row r="22" spans="1:13">
      <c r="A22" s="11" t="s">
        <v>151</v>
      </c>
      <c r="B22" s="1">
        <v>-20000</v>
      </c>
      <c r="C22" s="1"/>
      <c r="D22" s="35">
        <v>-16295</v>
      </c>
      <c r="E22" s="1">
        <v>-10476.120000000001</v>
      </c>
      <c r="F22" s="1">
        <f t="shared" si="1"/>
        <v>-26771.120000000003</v>
      </c>
      <c r="G22" s="1">
        <v>-12000</v>
      </c>
      <c r="H22" s="1">
        <v>-18291.87</v>
      </c>
      <c r="I22" s="1">
        <v>-40304.33</v>
      </c>
      <c r="J22" s="12">
        <f t="shared" si="0"/>
        <v>1.6666666666666667</v>
      </c>
    </row>
    <row r="23" spans="1:13">
      <c r="A23" s="11" t="s">
        <v>152</v>
      </c>
      <c r="B23" s="1">
        <v>-10000</v>
      </c>
      <c r="C23" s="1"/>
      <c r="D23" s="35">
        <v>-13513.5</v>
      </c>
      <c r="E23" s="1">
        <v>-4325</v>
      </c>
      <c r="F23" s="1">
        <f t="shared" si="1"/>
        <v>-17838.5</v>
      </c>
      <c r="G23" s="1">
        <v>-8500</v>
      </c>
      <c r="H23" s="1">
        <v>-9825</v>
      </c>
      <c r="I23" s="1">
        <v>-19994</v>
      </c>
      <c r="J23" s="12">
        <f t="shared" si="0"/>
        <v>1.1764705882352942</v>
      </c>
    </row>
    <row r="24" spans="1:13">
      <c r="A24" s="11" t="s">
        <v>153</v>
      </c>
      <c r="B24" s="1">
        <f>-B11*M24</f>
        <v>26650</v>
      </c>
      <c r="C24" s="1"/>
      <c r="D24" s="35">
        <v>15406.93</v>
      </c>
      <c r="E24" s="1">
        <v>12921.27</v>
      </c>
      <c r="F24" s="1">
        <f t="shared" si="1"/>
        <v>28328.2</v>
      </c>
      <c r="G24" s="1">
        <v>19000</v>
      </c>
      <c r="H24" s="1">
        <v>25358.74</v>
      </c>
      <c r="I24" s="1">
        <v>32064.37</v>
      </c>
      <c r="J24" s="12">
        <f t="shared" si="0"/>
        <v>1.4026315789473685</v>
      </c>
      <c r="K24" s="62" t="s">
        <v>776</v>
      </c>
      <c r="L24" s="59">
        <f>-B24/B11</f>
        <v>0.41</v>
      </c>
      <c r="M24">
        <v>0.41</v>
      </c>
    </row>
    <row r="25" spans="1:13">
      <c r="A25" s="11" t="s">
        <v>154</v>
      </c>
      <c r="B25" s="1">
        <v>52450</v>
      </c>
      <c r="C25" s="1"/>
      <c r="D25" s="35">
        <v>25247.77</v>
      </c>
      <c r="E25" s="1">
        <v>27920.94</v>
      </c>
      <c r="F25" s="1">
        <f t="shared" si="1"/>
        <v>53168.71</v>
      </c>
      <c r="G25" s="1">
        <v>41500</v>
      </c>
      <c r="H25" s="1">
        <v>54845.27</v>
      </c>
      <c r="I25" s="1">
        <v>48291.47</v>
      </c>
      <c r="J25" s="12">
        <f t="shared" si="0"/>
        <v>1.263855421686747</v>
      </c>
      <c r="K25" s="62" t="s">
        <v>778</v>
      </c>
      <c r="L25" s="59">
        <f>-B25/B12</f>
        <v>0.42991803278688523</v>
      </c>
      <c r="M25">
        <v>0.43</v>
      </c>
    </row>
    <row r="26" spans="1:13">
      <c r="A26" s="11" t="s">
        <v>155</v>
      </c>
      <c r="B26" s="1">
        <f t="shared" ref="B26:B28" si="2">-B13*M26</f>
        <v>57750</v>
      </c>
      <c r="C26" s="1"/>
      <c r="D26" s="36">
        <f>26990.74+192.24</f>
        <v>27182.980000000003</v>
      </c>
      <c r="E26" s="1">
        <v>28449.17</v>
      </c>
      <c r="F26" s="1">
        <f t="shared" si="1"/>
        <v>55632.15</v>
      </c>
      <c r="G26" s="1">
        <v>47000</v>
      </c>
      <c r="H26" s="1">
        <v>54077.49</v>
      </c>
      <c r="I26" s="1">
        <v>57553.8</v>
      </c>
      <c r="J26" s="12">
        <f t="shared" si="0"/>
        <v>1.2287234042553192</v>
      </c>
      <c r="K26" s="62" t="s">
        <v>777</v>
      </c>
      <c r="L26" s="59">
        <f>-B26/B13</f>
        <v>0.33</v>
      </c>
      <c r="M26">
        <v>0.33</v>
      </c>
    </row>
    <row r="27" spans="1:13">
      <c r="A27" s="11" t="s">
        <v>156</v>
      </c>
      <c r="B27" s="1">
        <f t="shared" si="2"/>
        <v>0</v>
      </c>
      <c r="C27" s="1"/>
      <c r="D27" s="36">
        <v>76.44</v>
      </c>
      <c r="E27" s="1">
        <v>154.84</v>
      </c>
      <c r="F27" s="1">
        <f t="shared" si="1"/>
        <v>231.28</v>
      </c>
      <c r="G27" s="1">
        <v>150</v>
      </c>
      <c r="H27" s="1">
        <v>446.06</v>
      </c>
      <c r="I27" s="1">
        <v>241.3</v>
      </c>
      <c r="J27" s="12">
        <f t="shared" si="0"/>
        <v>0</v>
      </c>
      <c r="K27" s="62" t="s">
        <v>779</v>
      </c>
      <c r="L27" s="59" t="e">
        <f>-B27/B14</f>
        <v>#DIV/0!</v>
      </c>
    </row>
    <row r="28" spans="1:13">
      <c r="A28" s="11" t="s">
        <v>157</v>
      </c>
      <c r="B28" s="1">
        <f t="shared" si="2"/>
        <v>2750</v>
      </c>
      <c r="C28" s="1"/>
      <c r="D28" s="36">
        <f>1809.98-192.24</f>
        <v>1617.74</v>
      </c>
      <c r="E28" s="1">
        <v>1579.92</v>
      </c>
      <c r="F28" s="1">
        <f t="shared" si="1"/>
        <v>3197.66</v>
      </c>
      <c r="G28" s="1">
        <v>2000</v>
      </c>
      <c r="H28" s="1">
        <v>2675.34</v>
      </c>
      <c r="I28" s="1">
        <v>2431.19</v>
      </c>
      <c r="J28" s="12">
        <f t="shared" si="0"/>
        <v>1.375</v>
      </c>
      <c r="K28" s="62" t="s">
        <v>780</v>
      </c>
      <c r="L28" s="59">
        <f>-B28/B15</f>
        <v>0.5</v>
      </c>
      <c r="M28">
        <v>0.5</v>
      </c>
    </row>
    <row r="29" spans="1:13">
      <c r="A29" s="11" t="s">
        <v>158</v>
      </c>
      <c r="B29" s="1">
        <v>4650</v>
      </c>
      <c r="C29" s="1"/>
      <c r="D29" s="35">
        <v>3196.92</v>
      </c>
      <c r="E29" s="1">
        <v>1373.19</v>
      </c>
      <c r="F29" s="1">
        <f t="shared" si="1"/>
        <v>4570.1100000000006</v>
      </c>
      <c r="G29" s="1">
        <v>4000</v>
      </c>
      <c r="H29" s="1">
        <v>1354.01</v>
      </c>
      <c r="I29" s="1">
        <v>2836.57</v>
      </c>
      <c r="J29" s="12">
        <f t="shared" si="0"/>
        <v>1.1625000000000001</v>
      </c>
      <c r="K29" s="62" t="s">
        <v>781</v>
      </c>
      <c r="L29" s="61">
        <f>-B29/SUM(B11:B17)</f>
        <v>4.9706039551042219E-3</v>
      </c>
      <c r="M29">
        <v>5.0000000000000001E-3</v>
      </c>
    </row>
    <row r="30" spans="1:13">
      <c r="A30" s="11" t="s">
        <v>159</v>
      </c>
      <c r="B30" s="1">
        <f>B16*-M30</f>
        <v>10350</v>
      </c>
      <c r="C30" s="1"/>
      <c r="D30" s="35">
        <v>8418.6200000000008</v>
      </c>
      <c r="E30" s="1">
        <v>4841.41</v>
      </c>
      <c r="F30" s="1">
        <f t="shared" si="1"/>
        <v>13260.03</v>
      </c>
      <c r="G30" s="1">
        <v>10000</v>
      </c>
      <c r="H30" s="1">
        <v>13537.35</v>
      </c>
      <c r="I30" s="1">
        <v>13222.85</v>
      </c>
      <c r="J30" s="12">
        <f t="shared" si="0"/>
        <v>1.0349999999999999</v>
      </c>
      <c r="K30" s="62" t="s">
        <v>782</v>
      </c>
      <c r="L30" s="59">
        <f>-B30/B16</f>
        <v>0.45</v>
      </c>
      <c r="M30">
        <v>0.45</v>
      </c>
    </row>
    <row r="31" spans="1:13">
      <c r="A31" s="11" t="s">
        <v>160</v>
      </c>
      <c r="B31" s="1">
        <f>M31*-B17</f>
        <v>239800</v>
      </c>
      <c r="C31" s="1"/>
      <c r="D31" s="35">
        <v>142421.34</v>
      </c>
      <c r="E31" s="1">
        <v>103273.22</v>
      </c>
      <c r="F31" s="1">
        <f t="shared" si="1"/>
        <v>245694.56</v>
      </c>
      <c r="G31" s="1">
        <v>205000</v>
      </c>
      <c r="H31" s="1">
        <v>215590.06</v>
      </c>
      <c r="I31" s="1">
        <v>235172.86</v>
      </c>
      <c r="J31" s="12">
        <f t="shared" si="0"/>
        <v>1.1697560975609755</v>
      </c>
      <c r="K31" s="62" t="s">
        <v>783</v>
      </c>
      <c r="L31" s="61">
        <f>-B31/B17</f>
        <v>0.44</v>
      </c>
      <c r="M31">
        <v>0.44</v>
      </c>
    </row>
    <row r="32" spans="1:13">
      <c r="A32" s="11" t="s">
        <v>161</v>
      </c>
      <c r="B32" s="1">
        <v>1900</v>
      </c>
      <c r="C32" s="1"/>
      <c r="D32" s="35">
        <v>1000.24</v>
      </c>
      <c r="E32" s="1">
        <v>479.16</v>
      </c>
      <c r="F32" s="1">
        <f t="shared" si="1"/>
        <v>1479.4</v>
      </c>
      <c r="G32" s="1">
        <v>2300</v>
      </c>
      <c r="H32" s="1">
        <v>1930.92</v>
      </c>
      <c r="I32" s="1">
        <v>2388.6</v>
      </c>
      <c r="J32" s="12">
        <f t="shared" si="0"/>
        <v>0.82608695652173914</v>
      </c>
    </row>
    <row r="33" spans="1:11">
      <c r="A33" s="11" t="s">
        <v>162</v>
      </c>
      <c r="B33" s="1">
        <v>5000</v>
      </c>
      <c r="C33" s="1"/>
      <c r="D33" s="35">
        <v>3052.04</v>
      </c>
      <c r="E33" s="1">
        <v>1448.87</v>
      </c>
      <c r="F33" s="1">
        <f t="shared" si="1"/>
        <v>4500.91</v>
      </c>
      <c r="G33" s="1">
        <v>5000</v>
      </c>
      <c r="H33" s="1">
        <v>4197.49</v>
      </c>
      <c r="I33" s="1">
        <v>8587.27</v>
      </c>
      <c r="J33" s="12">
        <f t="shared" si="0"/>
        <v>1</v>
      </c>
    </row>
    <row r="34" spans="1:11">
      <c r="A34" s="11" t="s">
        <v>163</v>
      </c>
      <c r="B34" s="1">
        <v>250</v>
      </c>
      <c r="C34" s="1"/>
      <c r="D34" s="35">
        <v>224.08</v>
      </c>
      <c r="E34" s="1">
        <v>0</v>
      </c>
      <c r="F34" s="1">
        <f t="shared" si="1"/>
        <v>224.08</v>
      </c>
      <c r="G34" s="1">
        <v>200</v>
      </c>
      <c r="J34" s="12">
        <f t="shared" si="0"/>
        <v>1.25</v>
      </c>
    </row>
    <row r="35" spans="1:11">
      <c r="A35" s="11" t="s">
        <v>164</v>
      </c>
      <c r="B35" s="1">
        <v>8500</v>
      </c>
      <c r="C35" s="1"/>
      <c r="D35" s="35">
        <v>7446.17</v>
      </c>
      <c r="E35" s="1">
        <v>2522.59</v>
      </c>
      <c r="F35" s="1">
        <f t="shared" si="1"/>
        <v>9968.76</v>
      </c>
      <c r="G35" s="1">
        <v>6000</v>
      </c>
      <c r="H35" s="1">
        <v>6276.57</v>
      </c>
      <c r="I35" s="1">
        <v>3903.98</v>
      </c>
      <c r="J35" s="12">
        <f t="shared" si="0"/>
        <v>1.4166666666666667</v>
      </c>
    </row>
    <row r="36" spans="1:11">
      <c r="A36" s="11" t="s">
        <v>165</v>
      </c>
      <c r="B36" s="1">
        <v>4000</v>
      </c>
      <c r="C36" s="1"/>
      <c r="D36" s="35">
        <v>1024.24</v>
      </c>
      <c r="E36" s="1">
        <v>816.64</v>
      </c>
      <c r="F36" s="1">
        <f t="shared" si="1"/>
        <v>1840.88</v>
      </c>
      <c r="G36" s="1">
        <v>4500</v>
      </c>
      <c r="H36" s="1">
        <v>3658.06</v>
      </c>
      <c r="I36" s="1">
        <v>5647.61</v>
      </c>
      <c r="J36" s="12">
        <f t="shared" si="0"/>
        <v>0.88888888888888884</v>
      </c>
    </row>
    <row r="37" spans="1:11">
      <c r="A37" s="11" t="s">
        <v>166</v>
      </c>
      <c r="B37" s="1">
        <v>18000</v>
      </c>
      <c r="C37" s="1"/>
      <c r="D37" s="35">
        <v>13842.35</v>
      </c>
      <c r="E37" s="1">
        <v>7745.38</v>
      </c>
      <c r="F37" s="1">
        <f t="shared" si="1"/>
        <v>21587.73</v>
      </c>
      <c r="G37" s="1">
        <v>15000</v>
      </c>
      <c r="H37" s="1">
        <v>17674.13</v>
      </c>
      <c r="I37" s="1">
        <v>2000.44</v>
      </c>
      <c r="J37" s="12">
        <f t="shared" si="0"/>
        <v>1.2</v>
      </c>
      <c r="K37" s="60"/>
    </row>
    <row r="38" spans="1:11">
      <c r="A38" s="11" t="s">
        <v>167</v>
      </c>
      <c r="B38" s="1">
        <v>1000</v>
      </c>
      <c r="C38" s="1"/>
      <c r="D38" s="35">
        <v>658.61</v>
      </c>
      <c r="E38" s="1">
        <v>564.67999999999995</v>
      </c>
      <c r="F38" s="1">
        <f t="shared" si="1"/>
        <v>1223.29</v>
      </c>
      <c r="G38" s="1">
        <v>1000</v>
      </c>
      <c r="H38" s="1">
        <v>982.22</v>
      </c>
      <c r="I38" s="1">
        <v>814.42</v>
      </c>
      <c r="J38" s="12">
        <f t="shared" si="0"/>
        <v>1</v>
      </c>
    </row>
    <row r="39" spans="1:11">
      <c r="A39" s="11" t="s">
        <v>168</v>
      </c>
      <c r="B39" s="1">
        <v>3000</v>
      </c>
      <c r="C39" s="1"/>
      <c r="D39" s="35">
        <v>579.52</v>
      </c>
      <c r="E39" s="1">
        <v>6.76</v>
      </c>
      <c r="F39" s="1">
        <f t="shared" si="1"/>
        <v>586.28</v>
      </c>
      <c r="G39" s="1">
        <v>6000</v>
      </c>
      <c r="H39" s="1">
        <v>456.17</v>
      </c>
      <c r="I39" s="1">
        <v>12133.7</v>
      </c>
      <c r="J39" s="12">
        <f t="shared" si="0"/>
        <v>0.5</v>
      </c>
    </row>
    <row r="40" spans="1:11">
      <c r="A40" s="11" t="s">
        <v>169</v>
      </c>
      <c r="B40" s="1">
        <v>15500</v>
      </c>
      <c r="C40" s="1"/>
      <c r="D40" s="35">
        <v>9673.52</v>
      </c>
      <c r="E40" s="1">
        <v>4818.38</v>
      </c>
      <c r="F40" s="1">
        <f t="shared" si="1"/>
        <v>14491.900000000001</v>
      </c>
      <c r="G40" s="1">
        <v>15000</v>
      </c>
      <c r="H40" s="1">
        <v>14418.38</v>
      </c>
      <c r="I40" s="1">
        <v>12557.5</v>
      </c>
      <c r="J40" s="12">
        <f t="shared" si="0"/>
        <v>1.0333333333333334</v>
      </c>
    </row>
    <row r="41" spans="1:11">
      <c r="A41" s="11" t="s">
        <v>170</v>
      </c>
      <c r="B41" s="1">
        <v>13000</v>
      </c>
      <c r="C41" s="1"/>
      <c r="D41" s="35">
        <v>6332.8</v>
      </c>
      <c r="E41" s="1">
        <v>2675.79</v>
      </c>
      <c r="F41" s="1">
        <f t="shared" si="1"/>
        <v>9008.59</v>
      </c>
      <c r="G41" s="1">
        <v>15000</v>
      </c>
      <c r="H41" s="1">
        <v>6070.02</v>
      </c>
      <c r="I41" s="1">
        <v>16976.27</v>
      </c>
      <c r="J41" s="12">
        <f t="shared" si="0"/>
        <v>0.8666666666666667</v>
      </c>
    </row>
    <row r="42" spans="1:11">
      <c r="A42" s="11" t="s">
        <v>171</v>
      </c>
      <c r="B42" s="1">
        <v>2500</v>
      </c>
      <c r="C42" s="1"/>
      <c r="D42" s="35">
        <v>394</v>
      </c>
      <c r="E42" s="1">
        <v>2077.52</v>
      </c>
      <c r="F42" s="1">
        <f t="shared" si="1"/>
        <v>2471.52</v>
      </c>
      <c r="G42" s="1">
        <v>2000</v>
      </c>
      <c r="H42" s="1">
        <v>2327.52</v>
      </c>
      <c r="I42" s="1">
        <v>2091.87</v>
      </c>
      <c r="J42" s="12">
        <f t="shared" si="0"/>
        <v>1.25</v>
      </c>
    </row>
    <row r="43" spans="1:11">
      <c r="A43" s="11" t="s">
        <v>172</v>
      </c>
      <c r="B43" s="1">
        <v>1500</v>
      </c>
      <c r="C43" s="1"/>
      <c r="E43" s="1">
        <v>1500</v>
      </c>
      <c r="F43" s="1">
        <f t="shared" si="1"/>
        <v>1500</v>
      </c>
      <c r="G43" s="1">
        <v>1500</v>
      </c>
      <c r="H43" s="1">
        <v>1500</v>
      </c>
      <c r="I43" s="1">
        <v>1337.5</v>
      </c>
      <c r="J43" s="12">
        <f t="shared" si="0"/>
        <v>1</v>
      </c>
    </row>
    <row r="44" spans="1:11">
      <c r="A44" s="11" t="s">
        <v>173</v>
      </c>
      <c r="B44" s="1">
        <v>1200</v>
      </c>
      <c r="C44" s="1"/>
      <c r="E44" s="1">
        <v>0</v>
      </c>
      <c r="F44" s="1">
        <f t="shared" si="1"/>
        <v>0</v>
      </c>
      <c r="G44" s="1">
        <v>1200</v>
      </c>
      <c r="I44" s="1">
        <v>80</v>
      </c>
      <c r="J44" s="12">
        <f t="shared" ref="J44:J63" si="3">B44/G44</f>
        <v>1</v>
      </c>
    </row>
    <row r="45" spans="1:11">
      <c r="A45" s="11" t="s">
        <v>174</v>
      </c>
      <c r="B45" s="1">
        <v>2000</v>
      </c>
      <c r="C45" s="1"/>
      <c r="E45" s="1">
        <v>872.28</v>
      </c>
      <c r="F45" s="1">
        <f t="shared" si="1"/>
        <v>872.28</v>
      </c>
      <c r="G45" s="1">
        <v>2500</v>
      </c>
      <c r="H45" s="1">
        <v>1322.28</v>
      </c>
      <c r="I45" s="1">
        <v>4815.3100000000004</v>
      </c>
      <c r="J45" s="12">
        <f t="shared" si="3"/>
        <v>0.8</v>
      </c>
    </row>
    <row r="46" spans="1:11">
      <c r="A46" s="11" t="s">
        <v>175</v>
      </c>
      <c r="B46" s="1">
        <v>6000</v>
      </c>
      <c r="C46" s="1"/>
      <c r="D46" s="35">
        <v>2800</v>
      </c>
      <c r="E46" s="1">
        <v>3000</v>
      </c>
      <c r="F46" s="1">
        <f t="shared" si="1"/>
        <v>5800</v>
      </c>
      <c r="G46" s="1">
        <v>4000</v>
      </c>
      <c r="H46" s="1">
        <v>5400</v>
      </c>
      <c r="I46" s="1">
        <v>5400</v>
      </c>
      <c r="J46" s="12">
        <f t="shared" si="3"/>
        <v>1.5</v>
      </c>
    </row>
    <row r="47" spans="1:11">
      <c r="A47" s="11" t="s">
        <v>176</v>
      </c>
      <c r="B47" s="1">
        <v>11000</v>
      </c>
      <c r="C47" s="1"/>
      <c r="D47" s="35">
        <v>8488.61</v>
      </c>
      <c r="E47" s="1">
        <v>4469.29</v>
      </c>
      <c r="F47" s="1">
        <f t="shared" si="1"/>
        <v>12957.900000000001</v>
      </c>
      <c r="G47" s="1">
        <v>7000</v>
      </c>
      <c r="H47" s="1">
        <v>8869.14</v>
      </c>
      <c r="I47" s="1">
        <v>12634.33</v>
      </c>
      <c r="J47" s="12">
        <f t="shared" si="3"/>
        <v>1.5714285714285714</v>
      </c>
    </row>
    <row r="48" spans="1:11">
      <c r="A48" s="11" t="s">
        <v>177</v>
      </c>
      <c r="B48" s="1">
        <v>3000</v>
      </c>
      <c r="C48" s="1"/>
      <c r="D48" s="35">
        <v>-13.62</v>
      </c>
      <c r="E48" s="1">
        <v>2781.24</v>
      </c>
      <c r="F48" s="1">
        <f t="shared" si="1"/>
        <v>2767.62</v>
      </c>
      <c r="G48" s="1">
        <v>2500</v>
      </c>
      <c r="H48" s="1">
        <v>4447.3900000000003</v>
      </c>
      <c r="I48" s="1">
        <v>4755.82</v>
      </c>
      <c r="J48" s="12">
        <f t="shared" si="3"/>
        <v>1.2</v>
      </c>
    </row>
    <row r="49" spans="1:11">
      <c r="A49" s="11" t="s">
        <v>178</v>
      </c>
      <c r="B49" s="1">
        <v>21000</v>
      </c>
      <c r="C49" s="1"/>
      <c r="D49" s="35">
        <v>13476.94</v>
      </c>
      <c r="E49" s="1">
        <v>12217.86</v>
      </c>
      <c r="F49" s="1">
        <f t="shared" si="1"/>
        <v>25694.800000000003</v>
      </c>
      <c r="G49" s="1">
        <v>18000</v>
      </c>
      <c r="H49" s="1">
        <v>24841.52</v>
      </c>
      <c r="I49" s="1">
        <v>20279.64</v>
      </c>
      <c r="J49" s="12">
        <f t="shared" si="3"/>
        <v>1.1666666666666667</v>
      </c>
    </row>
    <row r="50" spans="1:11">
      <c r="A50" s="11" t="s">
        <v>179</v>
      </c>
      <c r="B50" s="1">
        <v>400</v>
      </c>
      <c r="C50" s="1"/>
      <c r="E50" s="1">
        <v>30</v>
      </c>
      <c r="F50" s="1">
        <f t="shared" si="1"/>
        <v>30</v>
      </c>
      <c r="G50" s="1">
        <v>400</v>
      </c>
      <c r="H50" s="1">
        <v>30</v>
      </c>
      <c r="I50" s="1">
        <v>294.43</v>
      </c>
      <c r="J50" s="12">
        <f t="shared" si="3"/>
        <v>1</v>
      </c>
    </row>
    <row r="51" spans="1:11">
      <c r="A51" s="11" t="s">
        <v>180</v>
      </c>
      <c r="B51" s="1">
        <v>7000</v>
      </c>
      <c r="C51" s="1"/>
      <c r="D51" s="35">
        <v>4472.25</v>
      </c>
      <c r="E51" s="1">
        <v>2462.04</v>
      </c>
      <c r="F51" s="1">
        <f t="shared" si="1"/>
        <v>6934.29</v>
      </c>
      <c r="G51" s="1">
        <v>6000</v>
      </c>
      <c r="H51" s="1">
        <v>8203.86</v>
      </c>
      <c r="I51" s="1">
        <v>7040.33</v>
      </c>
      <c r="J51" s="12">
        <f t="shared" si="3"/>
        <v>1.1666666666666667</v>
      </c>
    </row>
    <row r="52" spans="1:11">
      <c r="A52" s="11" t="s">
        <v>181</v>
      </c>
      <c r="B52" s="1">
        <v>18000</v>
      </c>
      <c r="C52" s="1"/>
      <c r="D52" s="35">
        <v>10739.93</v>
      </c>
      <c r="E52" s="1">
        <v>6184.53</v>
      </c>
      <c r="F52" s="1">
        <f t="shared" si="1"/>
        <v>16924.46</v>
      </c>
      <c r="G52" s="1">
        <v>18000</v>
      </c>
      <c r="H52" s="1">
        <v>15372.25</v>
      </c>
      <c r="I52" s="1">
        <v>30923.68</v>
      </c>
      <c r="J52" s="12">
        <f t="shared" si="3"/>
        <v>1</v>
      </c>
    </row>
    <row r="53" spans="1:11">
      <c r="A53" s="11" t="s">
        <v>182</v>
      </c>
      <c r="B53" s="1">
        <v>5000</v>
      </c>
      <c r="C53" s="1"/>
      <c r="D53" s="35">
        <v>4954.8999999999996</v>
      </c>
      <c r="E53" s="1">
        <v>0</v>
      </c>
      <c r="F53" s="1">
        <f t="shared" si="1"/>
        <v>4954.8999999999996</v>
      </c>
      <c r="G53" s="1">
        <v>5600</v>
      </c>
      <c r="H53" s="1">
        <v>2240</v>
      </c>
      <c r="I53" s="1">
        <v>2309.34</v>
      </c>
      <c r="J53" s="12">
        <f t="shared" si="3"/>
        <v>0.8928571428571429</v>
      </c>
    </row>
    <row r="54" spans="1:11">
      <c r="A54" s="11" t="s">
        <v>183</v>
      </c>
      <c r="B54" s="1">
        <v>1200</v>
      </c>
      <c r="C54" s="1"/>
      <c r="D54" s="35">
        <v>10.7</v>
      </c>
      <c r="E54" s="1">
        <v>57.47</v>
      </c>
      <c r="F54" s="1">
        <f t="shared" si="1"/>
        <v>68.17</v>
      </c>
      <c r="G54" s="1">
        <v>1500</v>
      </c>
      <c r="H54" s="1">
        <v>270.43</v>
      </c>
      <c r="I54" s="1">
        <v>25.9</v>
      </c>
      <c r="J54" s="12">
        <f t="shared" si="3"/>
        <v>0.8</v>
      </c>
    </row>
    <row r="55" spans="1:11">
      <c r="A55" s="11" t="s">
        <v>184</v>
      </c>
      <c r="B55" s="1">
        <v>450000</v>
      </c>
      <c r="C55" s="1"/>
      <c r="D55" s="35">
        <v>304114.40000000002</v>
      </c>
      <c r="E55" s="1">
        <v>164162.03</v>
      </c>
      <c r="F55" s="1">
        <f t="shared" si="1"/>
        <v>468276.43000000005</v>
      </c>
      <c r="G55" s="1">
        <v>450000</v>
      </c>
      <c r="H55" s="1">
        <v>425992.81</v>
      </c>
      <c r="I55" s="1">
        <v>429603.43</v>
      </c>
      <c r="J55" s="12">
        <f t="shared" si="3"/>
        <v>1</v>
      </c>
    </row>
    <row r="56" spans="1:11">
      <c r="A56" s="11" t="s">
        <v>185</v>
      </c>
      <c r="B56" s="1">
        <v>41000</v>
      </c>
      <c r="C56" s="1"/>
      <c r="D56" s="35">
        <v>24999</v>
      </c>
      <c r="E56" s="1">
        <v>17221.59</v>
      </c>
      <c r="F56" s="1">
        <f t="shared" si="1"/>
        <v>42220.59</v>
      </c>
      <c r="G56" s="1">
        <v>40000</v>
      </c>
      <c r="H56" s="1">
        <v>39695.58</v>
      </c>
      <c r="I56" s="1">
        <v>40826.199999999997</v>
      </c>
      <c r="J56" s="12">
        <f t="shared" si="3"/>
        <v>1.0249999999999999</v>
      </c>
    </row>
    <row r="57" spans="1:11">
      <c r="A57" s="11" t="s">
        <v>186</v>
      </c>
      <c r="B57" s="1">
        <v>8500</v>
      </c>
      <c r="C57" s="1"/>
      <c r="D57" s="35">
        <v>4707.1400000000003</v>
      </c>
      <c r="E57" s="1">
        <v>3694.13</v>
      </c>
      <c r="F57" s="1">
        <f t="shared" si="1"/>
        <v>8401.27</v>
      </c>
      <c r="G57" s="1">
        <v>5500</v>
      </c>
      <c r="H57" s="1">
        <v>7577.03</v>
      </c>
      <c r="I57" s="1">
        <v>5998.97</v>
      </c>
      <c r="J57" s="12">
        <f t="shared" si="3"/>
        <v>1.5454545454545454</v>
      </c>
    </row>
    <row r="58" spans="1:11">
      <c r="A58" s="11" t="s">
        <v>187</v>
      </c>
      <c r="B58" s="1">
        <v>500</v>
      </c>
      <c r="C58" s="1"/>
      <c r="D58" s="35">
        <v>-166.79</v>
      </c>
      <c r="E58" s="1">
        <v>-549.62</v>
      </c>
      <c r="F58" s="1">
        <f t="shared" si="1"/>
        <v>-716.41</v>
      </c>
      <c r="H58" s="1">
        <v>-1847.57</v>
      </c>
      <c r="I58" s="1">
        <v>752.69</v>
      </c>
      <c r="J58" s="12"/>
    </row>
    <row r="59" spans="1:11">
      <c r="A59" s="11" t="s">
        <v>188</v>
      </c>
      <c r="B59" s="1">
        <v>500</v>
      </c>
      <c r="C59" s="1"/>
      <c r="D59" s="35"/>
      <c r="E59" s="1">
        <v>0</v>
      </c>
      <c r="F59" s="1">
        <f t="shared" si="1"/>
        <v>0</v>
      </c>
      <c r="I59" s="1">
        <v>1416.46</v>
      </c>
      <c r="J59" s="12"/>
    </row>
    <row r="60" spans="1:11">
      <c r="A60" s="11" t="s">
        <v>189</v>
      </c>
      <c r="B60" s="112">
        <v>59000</v>
      </c>
      <c r="C60" s="1"/>
      <c r="D60" s="35">
        <v>8982.4</v>
      </c>
      <c r="E60" s="1">
        <f>41860.09+5000</f>
        <v>46860.09</v>
      </c>
      <c r="F60" s="1">
        <f t="shared" si="1"/>
        <v>55842.49</v>
      </c>
      <c r="G60" s="1">
        <v>50000</v>
      </c>
      <c r="H60" s="1">
        <v>60464.58</v>
      </c>
      <c r="I60" s="1">
        <v>65429.56</v>
      </c>
      <c r="J60" s="12">
        <f t="shared" si="3"/>
        <v>1.18</v>
      </c>
    </row>
    <row r="61" spans="1:11">
      <c r="A61" s="11" t="s">
        <v>190</v>
      </c>
      <c r="B61" s="14">
        <v>0</v>
      </c>
      <c r="C61" s="14"/>
      <c r="E61" s="1">
        <v>-72.48</v>
      </c>
      <c r="F61" s="1">
        <f t="shared" si="1"/>
        <v>-72.48</v>
      </c>
      <c r="H61" s="1">
        <v>-72.48</v>
      </c>
      <c r="J61" s="12"/>
    </row>
    <row r="62" spans="1:11">
      <c r="B62" s="13" t="s">
        <v>21</v>
      </c>
      <c r="C62" s="13"/>
      <c r="D62" s="13" t="s">
        <v>21</v>
      </c>
      <c r="E62" s="13"/>
      <c r="F62" s="13" t="s">
        <v>21</v>
      </c>
      <c r="G62" s="13" t="s">
        <v>21</v>
      </c>
      <c r="H62" s="13" t="s">
        <v>21</v>
      </c>
      <c r="I62" s="13" t="s">
        <v>21</v>
      </c>
      <c r="J62" s="13" t="s">
        <v>21</v>
      </c>
    </row>
    <row r="63" spans="1:11">
      <c r="A63" s="11" t="s">
        <v>22</v>
      </c>
      <c r="B63" s="58">
        <f>SUM(B11:B61)</f>
        <v>64350</v>
      </c>
      <c r="C63" s="15"/>
      <c r="D63" s="1">
        <f>SUM(D11:D61)</f>
        <v>53121.01999999996</v>
      </c>
      <c r="E63" s="1">
        <f>SUM(E11:E61)</f>
        <v>-442.10000000000991</v>
      </c>
      <c r="F63" s="1">
        <f>SUM(F11:F61)</f>
        <v>52678.920000000246</v>
      </c>
      <c r="G63" s="1">
        <v>98900</v>
      </c>
      <c r="H63" s="1">
        <v>60172.450000000303</v>
      </c>
      <c r="I63" s="1">
        <v>55042.699999999903</v>
      </c>
      <c r="J63" s="12">
        <f t="shared" si="3"/>
        <v>0.65065722952477245</v>
      </c>
      <c r="K63" s="11"/>
    </row>
    <row r="64" spans="1:11">
      <c r="B64" s="13" t="s">
        <v>21</v>
      </c>
      <c r="C64" s="13"/>
      <c r="D64" s="13" t="s">
        <v>21</v>
      </c>
      <c r="E64" s="13"/>
      <c r="F64" s="13" t="s">
        <v>21</v>
      </c>
      <c r="G64" s="13" t="s">
        <v>21</v>
      </c>
      <c r="H64" s="13" t="s">
        <v>21</v>
      </c>
      <c r="I64" s="13" t="s">
        <v>21</v>
      </c>
      <c r="J64" s="13" t="s">
        <v>21</v>
      </c>
    </row>
    <row r="65" spans="1:9">
      <c r="B65" s="14"/>
      <c r="C65" s="14"/>
      <c r="I65" s="1" t="s">
        <v>929</v>
      </c>
    </row>
    <row r="66" spans="1:9">
      <c r="A66" s="62" t="s">
        <v>810</v>
      </c>
      <c r="B66" s="14"/>
      <c r="C66" s="14"/>
      <c r="I66" s="1">
        <f>(F63+H63+I63)/3</f>
        <v>55964.690000000148</v>
      </c>
    </row>
    <row r="67" spans="1:9">
      <c r="C67" s="63"/>
    </row>
    <row r="70" spans="1:9">
      <c r="A70" s="62"/>
    </row>
  </sheetData>
  <mergeCells count="3">
    <mergeCell ref="A1:J1"/>
    <mergeCell ref="A2:J2"/>
    <mergeCell ref="A3:J3"/>
  </mergeCells>
  <phoneticPr fontId="0" type="noConversion"/>
  <pageMargins left="0.75" right="0.75" top="0.75" bottom="0.7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K24"/>
  <sheetViews>
    <sheetView workbookViewId="0">
      <pane ySplit="8" topLeftCell="A9" activePane="bottomLeft" state="frozenSplit"/>
      <selection pane="bottomLeft" activeCell="A35" sqref="A35"/>
    </sheetView>
  </sheetViews>
  <sheetFormatPr defaultColWidth="9.1640625" defaultRowHeight="12.75" outlineLevelCol="1"/>
  <cols>
    <col min="1" max="1" width="43.1640625" customWidth="1"/>
    <col min="2" max="2" width="14.5" customWidth="1"/>
    <col min="3" max="3" width="4.16406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
    </row>
    <row r="2" spans="1:11">
      <c r="A2" s="126" t="s">
        <v>947</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87</v>
      </c>
      <c r="B11" s="1">
        <v>-20425</v>
      </c>
      <c r="D11" s="1">
        <v>0</v>
      </c>
      <c r="E11" s="1">
        <f>-19950+2295.13</f>
        <v>-17654.87</v>
      </c>
      <c r="F11" s="1">
        <f>D11+E11</f>
        <v>-17654.87</v>
      </c>
      <c r="G11" s="1">
        <v>-12000</v>
      </c>
      <c r="H11" s="1">
        <v>-13366.5</v>
      </c>
      <c r="I11" s="1">
        <v>-10640</v>
      </c>
      <c r="J11" s="12">
        <f>B11/G11</f>
        <v>1.7020833333333334</v>
      </c>
    </row>
    <row r="12" spans="1:11">
      <c r="A12" s="11" t="s">
        <v>88</v>
      </c>
      <c r="B12" s="1">
        <v>300</v>
      </c>
      <c r="D12" s="1">
        <v>226.4</v>
      </c>
      <c r="E12" s="1">
        <v>84.9</v>
      </c>
      <c r="F12" s="1">
        <f>D12+E12</f>
        <v>311.3</v>
      </c>
      <c r="G12" s="1">
        <v>300</v>
      </c>
      <c r="H12" s="1">
        <v>283</v>
      </c>
      <c r="J12" s="12">
        <f>B12/G12</f>
        <v>1</v>
      </c>
    </row>
    <row r="13" spans="1:11">
      <c r="A13" s="11" t="s">
        <v>191</v>
      </c>
      <c r="B13" s="1">
        <v>0</v>
      </c>
      <c r="D13" s="1">
        <v>0</v>
      </c>
      <c r="E13" s="1">
        <v>-4312</v>
      </c>
      <c r="F13" s="1">
        <f>D13+E13</f>
        <v>-4312</v>
      </c>
      <c r="G13" s="1">
        <v>-5000</v>
      </c>
      <c r="H13" s="1">
        <v>-4312</v>
      </c>
      <c r="I13" s="1">
        <v>-9903.9699999999993</v>
      </c>
      <c r="J13" s="12">
        <f>B13/G13</f>
        <v>0</v>
      </c>
    </row>
    <row r="14" spans="1:11">
      <c r="A14" s="11" t="s">
        <v>192</v>
      </c>
      <c r="B14" s="1">
        <v>-22000</v>
      </c>
      <c r="D14" s="1">
        <v>0</v>
      </c>
      <c r="E14" s="1">
        <v>-21172.35</v>
      </c>
      <c r="F14" s="1">
        <f>D14+E14</f>
        <v>-21172.35</v>
      </c>
      <c r="G14" s="1">
        <v>-21000</v>
      </c>
      <c r="H14" s="1">
        <v>-21172.35</v>
      </c>
      <c r="I14" s="1">
        <v>-21172.35</v>
      </c>
      <c r="J14" s="12">
        <f>B14/G14</f>
        <v>1.0476190476190477</v>
      </c>
    </row>
    <row r="15" spans="1:11">
      <c r="A15" s="11" t="s">
        <v>725</v>
      </c>
      <c r="B15" s="1"/>
      <c r="J15" s="12"/>
    </row>
    <row r="16" spans="1:11">
      <c r="A16" s="11"/>
      <c r="B16" s="14"/>
      <c r="J16" s="12"/>
    </row>
    <row r="17" spans="1:11">
      <c r="B17" s="13" t="s">
        <v>21</v>
      </c>
      <c r="D17" s="13" t="s">
        <v>21</v>
      </c>
      <c r="E17" s="13"/>
      <c r="F17" s="13" t="s">
        <v>21</v>
      </c>
      <c r="G17" s="13" t="s">
        <v>21</v>
      </c>
      <c r="H17" s="13" t="s">
        <v>21</v>
      </c>
      <c r="I17" s="13" t="s">
        <v>21</v>
      </c>
      <c r="J17" s="13" t="s">
        <v>21</v>
      </c>
    </row>
    <row r="18" spans="1:11">
      <c r="A18" s="11" t="s">
        <v>22</v>
      </c>
      <c r="B18" s="15">
        <f>SUM(B10:B16)</f>
        <v>-42125</v>
      </c>
      <c r="C18" s="11"/>
      <c r="D18" s="1">
        <f>SUM(D11:D16)</f>
        <v>226.4</v>
      </c>
      <c r="E18" s="1">
        <f>SUM(E11:E16)</f>
        <v>-43054.319999999992</v>
      </c>
      <c r="F18" s="1">
        <f>SUM(F10:F16)</f>
        <v>-42827.92</v>
      </c>
      <c r="G18" s="1">
        <v>-37700</v>
      </c>
      <c r="H18" s="1">
        <v>-38567.85</v>
      </c>
      <c r="I18" s="1">
        <v>-41716.32</v>
      </c>
      <c r="J18" s="12">
        <f>B18/G18</f>
        <v>1.1173740053050398</v>
      </c>
      <c r="K18" s="11"/>
    </row>
    <row r="19" spans="1:11">
      <c r="B19" s="13" t="s">
        <v>21</v>
      </c>
      <c r="D19" s="13" t="s">
        <v>21</v>
      </c>
      <c r="E19" s="13"/>
      <c r="F19" s="13" t="s">
        <v>21</v>
      </c>
      <c r="G19" s="13" t="s">
        <v>21</v>
      </c>
      <c r="H19" s="13" t="s">
        <v>21</v>
      </c>
      <c r="I19" s="13" t="s">
        <v>21</v>
      </c>
      <c r="J19" s="13" t="s">
        <v>21</v>
      </c>
    </row>
    <row r="20" spans="1:11">
      <c r="B20" s="14"/>
    </row>
    <row r="21" spans="1:11">
      <c r="B21" s="14"/>
      <c r="I21" s="1">
        <f>SUM(I11:I16)</f>
        <v>-41716.32</v>
      </c>
    </row>
    <row r="22" spans="1:11">
      <c r="B22" s="14"/>
    </row>
    <row r="23" spans="1:11">
      <c r="A23" s="11" t="s">
        <v>725</v>
      </c>
      <c r="B23" s="14">
        <v>-3850</v>
      </c>
    </row>
    <row r="24" spans="1:11">
      <c r="B24" s="14"/>
    </row>
  </sheetData>
  <mergeCells count="3">
    <mergeCell ref="A1:J1"/>
    <mergeCell ref="A3:J3"/>
    <mergeCell ref="A2:J2"/>
  </mergeCells>
  <pageMargins left="0.75" right="0.75" top="0.75" bottom="0.75" header="0.5" footer="0.5"/>
  <pageSetup orientation="portrait"/>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workbookViewId="0">
      <pane ySplit="8" topLeftCell="A9" activePane="bottomLeft" state="frozenSplit"/>
      <selection pane="bottomLeft" activeCell="A33" sqref="A33"/>
    </sheetView>
  </sheetViews>
  <sheetFormatPr defaultColWidth="9.1640625" defaultRowHeight="12.75" outlineLevelCol="1"/>
  <cols>
    <col min="1" max="1" width="39.5" customWidth="1"/>
    <col min="2" max="2" width="14.5" customWidth="1"/>
    <col min="3" max="3" width="3.832031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7"/>
    </row>
    <row r="2" spans="1:11">
      <c r="A2" s="126" t="s">
        <v>948</v>
      </c>
      <c r="B2" s="126"/>
      <c r="C2" s="126"/>
      <c r="D2" s="126"/>
      <c r="E2" s="126"/>
      <c r="F2" s="126"/>
      <c r="G2" s="126"/>
      <c r="H2" s="126"/>
      <c r="I2" s="126"/>
      <c r="J2" s="126"/>
      <c r="K2" s="8"/>
    </row>
    <row r="3" spans="1:11">
      <c r="A3" s="126" t="s">
        <v>765</v>
      </c>
      <c r="B3" s="126"/>
      <c r="C3" s="126"/>
      <c r="D3" s="126"/>
      <c r="E3" s="126"/>
      <c r="F3" s="126"/>
      <c r="G3" s="126"/>
      <c r="H3" s="126"/>
      <c r="I3" s="126"/>
      <c r="J3" s="126"/>
      <c r="K3" s="8"/>
    </row>
    <row r="5" spans="1:11">
      <c r="B5" s="9" t="s">
        <v>941</v>
      </c>
      <c r="D5" s="42" t="s">
        <v>1</v>
      </c>
      <c r="E5" s="41" t="s">
        <v>760</v>
      </c>
      <c r="F5" s="43" t="s">
        <v>2</v>
      </c>
      <c r="J5" s="46" t="s">
        <v>8</v>
      </c>
    </row>
    <row r="6" spans="1:11">
      <c r="B6" s="9" t="s">
        <v>3</v>
      </c>
      <c r="D6" s="42" t="s">
        <v>761</v>
      </c>
      <c r="E6" s="41" t="s">
        <v>759</v>
      </c>
      <c r="F6" s="43" t="s">
        <v>4</v>
      </c>
      <c r="G6" s="10" t="s">
        <v>4</v>
      </c>
      <c r="H6" s="10" t="s">
        <v>5</v>
      </c>
      <c r="I6" s="10" t="s">
        <v>6</v>
      </c>
      <c r="J6" s="10" t="s">
        <v>774</v>
      </c>
      <c r="K6" s="9" t="s">
        <v>7</v>
      </c>
    </row>
    <row r="7" spans="1:11">
      <c r="B7" s="9" t="s">
        <v>8</v>
      </c>
      <c r="D7" s="42" t="s">
        <v>4</v>
      </c>
      <c r="E7" s="41" t="s">
        <v>5</v>
      </c>
      <c r="F7" s="43" t="s">
        <v>9</v>
      </c>
      <c r="G7" s="10" t="s">
        <v>8</v>
      </c>
      <c r="H7" s="10" t="s">
        <v>9</v>
      </c>
      <c r="I7" s="10" t="s">
        <v>9</v>
      </c>
      <c r="J7" s="10" t="s">
        <v>775</v>
      </c>
    </row>
    <row r="10" spans="1:11">
      <c r="A10" s="11" t="s">
        <v>10</v>
      </c>
    </row>
    <row r="11" spans="1:11">
      <c r="A11" s="11" t="s">
        <v>193</v>
      </c>
      <c r="B11" s="1">
        <f>'CHILD CARE - Acct Detail'!B40</f>
        <v>12626</v>
      </c>
      <c r="D11" s="1">
        <f>'CHILD CARE - Acct Detail'!D40</f>
        <v>7793.6500000000815</v>
      </c>
      <c r="E11" s="1">
        <f>'CHILD CARE - Acct Detail'!E40</f>
        <v>6280.9500000000307</v>
      </c>
      <c r="F11" s="1">
        <f>'CHILD CARE - Acct Detail'!F40</f>
        <v>14074.599999999993</v>
      </c>
      <c r="G11" s="1">
        <f>'CHILD CARE - Acct Detail'!G40</f>
        <v>1193</v>
      </c>
      <c r="H11" s="1">
        <f>'CHILD CARE - Acct Detail'!H40</f>
        <v>25066.140000000101</v>
      </c>
      <c r="I11" s="1">
        <f>'CHILD CARE - Acct Detail'!I40</f>
        <v>12098.99</v>
      </c>
      <c r="J11" s="12">
        <f>B11/G11</f>
        <v>10.583403185247276</v>
      </c>
    </row>
    <row r="12" spans="1:11">
      <c r="B12" s="13" t="s">
        <v>21</v>
      </c>
      <c r="D12" s="13" t="s">
        <v>21</v>
      </c>
      <c r="E12" s="13"/>
      <c r="F12" s="13" t="s">
        <v>21</v>
      </c>
      <c r="G12" s="13" t="s">
        <v>21</v>
      </c>
      <c r="H12" s="13" t="s">
        <v>21</v>
      </c>
      <c r="I12" s="13" t="s">
        <v>21</v>
      </c>
      <c r="J12" s="13" t="s">
        <v>21</v>
      </c>
    </row>
    <row r="13" spans="1:11">
      <c r="A13" s="11" t="s">
        <v>22</v>
      </c>
      <c r="B13" s="1">
        <f>SUM(B11:B12)</f>
        <v>12626</v>
      </c>
      <c r="C13" s="11"/>
      <c r="D13" s="1">
        <f t="shared" ref="D13:I13" si="0">SUM(D11:D12)</f>
        <v>7793.6500000000815</v>
      </c>
      <c r="E13" s="1">
        <f t="shared" si="0"/>
        <v>6280.9500000000307</v>
      </c>
      <c r="F13" s="1">
        <f t="shared" si="0"/>
        <v>14074.599999999993</v>
      </c>
      <c r="G13" s="1">
        <f t="shared" si="0"/>
        <v>1193</v>
      </c>
      <c r="H13" s="1">
        <f t="shared" si="0"/>
        <v>25066.140000000101</v>
      </c>
      <c r="I13" s="1">
        <f t="shared" si="0"/>
        <v>12098.99</v>
      </c>
      <c r="J13" s="12">
        <f>B13/G13</f>
        <v>10.583403185247276</v>
      </c>
      <c r="K13" s="11"/>
    </row>
    <row r="14" spans="1:11">
      <c r="B14" s="13" t="s">
        <v>21</v>
      </c>
      <c r="D14" s="13" t="s">
        <v>21</v>
      </c>
      <c r="E14" s="13"/>
      <c r="F14" s="13" t="s">
        <v>21</v>
      </c>
      <c r="G14" s="13" t="s">
        <v>21</v>
      </c>
      <c r="H14" s="13" t="s">
        <v>21</v>
      </c>
      <c r="I14" s="13" t="s">
        <v>21</v>
      </c>
      <c r="J14" s="13" t="s">
        <v>21</v>
      </c>
    </row>
  </sheetData>
  <mergeCells count="3">
    <mergeCell ref="A3:J3"/>
    <mergeCell ref="A2:J2"/>
    <mergeCell ref="A1:J1"/>
  </mergeCells>
  <phoneticPr fontId="0" type="noConversion"/>
  <pageMargins left="0.75" right="0.75" top="0.75" bottom="0.75" header="0.5" footer="0.5"/>
  <pageSetup orientation="portrait"/>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K48"/>
  <sheetViews>
    <sheetView workbookViewId="0">
      <pane ySplit="8" topLeftCell="A9" activePane="bottomLeft" state="frozenSplit"/>
      <selection pane="bottomLeft" activeCell="A41" sqref="A41"/>
    </sheetView>
  </sheetViews>
  <sheetFormatPr defaultColWidth="9.1640625" defaultRowHeight="12.75" outlineLevelCol="1"/>
  <cols>
    <col min="1" max="1" width="52.83203125" customWidth="1"/>
    <col min="2" max="2" width="14.5" customWidth="1"/>
    <col min="3" max="3" width="4.6640625" customWidth="1"/>
    <col min="4" max="5" width="14.5" style="1" hidden="1" customWidth="1" outlineLevel="1"/>
    <col min="6" max="6" width="14.5" style="1" customWidth="1" collapsed="1"/>
    <col min="7" max="9" width="14.5" style="1" customWidth="1"/>
    <col min="10" max="10" width="11.5" style="2" customWidth="1"/>
    <col min="11" max="11" width="55.5" customWidth="1"/>
  </cols>
  <sheetData>
    <row r="1" spans="1:11" ht="15">
      <c r="A1" s="125" t="s">
        <v>0</v>
      </c>
      <c r="B1" s="125"/>
      <c r="C1" s="125"/>
      <c r="D1" s="125"/>
      <c r="E1" s="125"/>
      <c r="F1" s="125"/>
      <c r="G1" s="125"/>
      <c r="H1" s="125"/>
      <c r="I1" s="125"/>
      <c r="J1" s="125"/>
      <c r="K1" s="47"/>
    </row>
    <row r="2" spans="1:11">
      <c r="A2" s="126" t="s">
        <v>949</v>
      </c>
      <c r="B2" s="126"/>
      <c r="C2" s="126"/>
      <c r="D2" s="126"/>
      <c r="E2" s="126"/>
      <c r="F2" s="126"/>
      <c r="G2" s="126"/>
      <c r="H2" s="126"/>
      <c r="I2" s="126"/>
      <c r="J2" s="126"/>
      <c r="K2" s="8"/>
    </row>
    <row r="3" spans="1:11">
      <c r="A3" s="126" t="s">
        <v>765</v>
      </c>
      <c r="B3" s="126"/>
      <c r="C3" s="126"/>
      <c r="D3" s="126"/>
      <c r="E3" s="126"/>
      <c r="F3" s="126"/>
      <c r="G3" s="126"/>
      <c r="H3" s="126"/>
      <c r="I3" s="126"/>
      <c r="J3" s="126"/>
      <c r="K3" s="48"/>
    </row>
    <row r="5" spans="1:11">
      <c r="B5" s="9" t="s">
        <v>941</v>
      </c>
      <c r="C5" s="49"/>
      <c r="D5" s="42" t="s">
        <v>1</v>
      </c>
      <c r="E5" s="41" t="s">
        <v>760</v>
      </c>
      <c r="F5" s="43" t="s">
        <v>2</v>
      </c>
      <c r="J5" s="46" t="s">
        <v>8</v>
      </c>
    </row>
    <row r="6" spans="1:11">
      <c r="B6" s="9" t="s">
        <v>3</v>
      </c>
      <c r="C6" s="49"/>
      <c r="D6" s="42" t="s">
        <v>761</v>
      </c>
      <c r="E6" s="41" t="s">
        <v>759</v>
      </c>
      <c r="F6" s="43" t="s">
        <v>4</v>
      </c>
      <c r="G6" s="10" t="s">
        <v>4</v>
      </c>
      <c r="H6" s="10" t="s">
        <v>5</v>
      </c>
      <c r="I6" s="10" t="s">
        <v>6</v>
      </c>
      <c r="J6" s="10" t="s">
        <v>774</v>
      </c>
      <c r="K6" s="9" t="s">
        <v>7</v>
      </c>
    </row>
    <row r="7" spans="1:11">
      <c r="B7" s="9" t="s">
        <v>8</v>
      </c>
      <c r="C7" s="49"/>
      <c r="D7" s="42" t="s">
        <v>4</v>
      </c>
      <c r="E7" s="41" t="s">
        <v>5</v>
      </c>
      <c r="F7" s="43" t="s">
        <v>9</v>
      </c>
      <c r="G7" s="10" t="s">
        <v>8</v>
      </c>
      <c r="H7" s="10" t="s">
        <v>9</v>
      </c>
      <c r="I7" s="10" t="s">
        <v>9</v>
      </c>
      <c r="J7" s="10" t="s">
        <v>775</v>
      </c>
    </row>
    <row r="8" spans="1:11">
      <c r="C8" s="50"/>
    </row>
    <row r="9" spans="1:11">
      <c r="C9" s="50"/>
    </row>
    <row r="10" spans="1:11">
      <c r="A10" s="11" t="s">
        <v>10</v>
      </c>
      <c r="B10" s="14"/>
      <c r="C10" s="51"/>
    </row>
    <row r="11" spans="1:11">
      <c r="A11" s="11" t="s">
        <v>194</v>
      </c>
      <c r="B11" s="65">
        <v>-425000</v>
      </c>
      <c r="C11" s="52"/>
      <c r="D11" s="35">
        <v>-276895.98</v>
      </c>
      <c r="E11" s="1">
        <v>-135012.47</v>
      </c>
      <c r="F11" s="1">
        <f>D11+E11</f>
        <v>-411908.44999999995</v>
      </c>
      <c r="G11" s="1">
        <v>-440000</v>
      </c>
      <c r="H11" s="1">
        <v>-377200.44</v>
      </c>
      <c r="I11" s="1">
        <v>-325573.12</v>
      </c>
      <c r="J11" s="12">
        <f>B11/G11</f>
        <v>0.96590909090909094</v>
      </c>
      <c r="K11" t="s">
        <v>847</v>
      </c>
    </row>
    <row r="12" spans="1:11">
      <c r="A12" s="11" t="s">
        <v>195</v>
      </c>
      <c r="B12" s="65">
        <v>-78000</v>
      </c>
      <c r="C12" s="52"/>
      <c r="D12" s="35">
        <v>-53087.49</v>
      </c>
      <c r="E12" s="1">
        <v>-21385.24</v>
      </c>
      <c r="F12" s="1">
        <f t="shared" ref="F12:F38" si="0">D12+E12</f>
        <v>-74472.73</v>
      </c>
      <c r="G12" s="1">
        <v>-85000</v>
      </c>
      <c r="H12" s="1">
        <v>-81056.72</v>
      </c>
      <c r="I12" s="1">
        <v>-133691.35</v>
      </c>
      <c r="J12" s="12">
        <f t="shared" ref="J12:J40" si="1">B12/G12</f>
        <v>0.91764705882352937</v>
      </c>
    </row>
    <row r="13" spans="1:11">
      <c r="A13" s="11" t="s">
        <v>196</v>
      </c>
      <c r="B13" s="65">
        <v>-250</v>
      </c>
      <c r="C13" s="52"/>
      <c r="D13" s="35">
        <v>-200</v>
      </c>
      <c r="E13" s="1">
        <v>0</v>
      </c>
      <c r="F13" s="1">
        <f t="shared" si="0"/>
        <v>-200</v>
      </c>
      <c r="G13" s="1">
        <v>-225</v>
      </c>
      <c r="H13" s="1">
        <v>-150</v>
      </c>
      <c r="I13" s="1">
        <v>-175</v>
      </c>
      <c r="J13" s="12">
        <f t="shared" si="1"/>
        <v>1.1111111111111112</v>
      </c>
    </row>
    <row r="14" spans="1:11">
      <c r="A14" s="11" t="s">
        <v>197</v>
      </c>
      <c r="B14" s="65">
        <v>-18000</v>
      </c>
      <c r="C14" s="52"/>
      <c r="D14" s="35">
        <v>-11366</v>
      </c>
      <c r="E14" s="1">
        <v>-7500</v>
      </c>
      <c r="F14" s="1">
        <f t="shared" si="0"/>
        <v>-18866</v>
      </c>
      <c r="G14" s="1">
        <v>-17000</v>
      </c>
      <c r="H14" s="1">
        <v>-18695</v>
      </c>
      <c r="I14" s="1">
        <v>-34790.18</v>
      </c>
      <c r="J14" s="12">
        <f t="shared" si="1"/>
        <v>1.0588235294117647</v>
      </c>
    </row>
    <row r="15" spans="1:11">
      <c r="A15" s="11" t="s">
        <v>198</v>
      </c>
      <c r="B15" s="65">
        <v>-100548</v>
      </c>
      <c r="C15" s="52"/>
      <c r="D15" s="35">
        <v>-67032</v>
      </c>
      <c r="E15" s="1">
        <v>-33516</v>
      </c>
      <c r="F15" s="1">
        <f t="shared" si="0"/>
        <v>-100548</v>
      </c>
      <c r="G15" s="1">
        <v>-100548</v>
      </c>
      <c r="H15" s="1">
        <v>-100532.67</v>
      </c>
      <c r="I15" s="1">
        <v>-100724.33</v>
      </c>
      <c r="J15" s="12">
        <f t="shared" si="1"/>
        <v>1</v>
      </c>
    </row>
    <row r="16" spans="1:11">
      <c r="A16" s="11" t="s">
        <v>199</v>
      </c>
      <c r="B16" s="65">
        <v>-20000</v>
      </c>
      <c r="C16" s="52"/>
      <c r="D16" s="35">
        <v>-18823.14</v>
      </c>
      <c r="E16" s="1">
        <v>-3811.5</v>
      </c>
      <c r="F16" s="1">
        <f t="shared" si="0"/>
        <v>-22634.639999999999</v>
      </c>
      <c r="G16" s="1">
        <v>-9000</v>
      </c>
      <c r="H16" s="1">
        <v>-18038.5</v>
      </c>
      <c r="I16" s="1">
        <v>-2298.64</v>
      </c>
      <c r="J16" s="12">
        <f t="shared" si="1"/>
        <v>2.2222222222222223</v>
      </c>
    </row>
    <row r="17" spans="1:10">
      <c r="A17" s="11" t="s">
        <v>200</v>
      </c>
      <c r="B17" s="65">
        <v>250</v>
      </c>
      <c r="C17" s="52"/>
      <c r="D17" s="35">
        <v>331.15</v>
      </c>
      <c r="E17" s="1">
        <v>-83.02</v>
      </c>
      <c r="F17" s="1">
        <f t="shared" si="0"/>
        <v>248.13</v>
      </c>
      <c r="G17" s="1">
        <v>250</v>
      </c>
      <c r="H17" s="1">
        <v>19.86</v>
      </c>
      <c r="I17" s="1">
        <v>774</v>
      </c>
      <c r="J17" s="12">
        <f t="shared" si="1"/>
        <v>1</v>
      </c>
    </row>
    <row r="18" spans="1:10">
      <c r="A18" s="11" t="s">
        <v>201</v>
      </c>
      <c r="B18" s="65">
        <v>2500</v>
      </c>
      <c r="C18" s="52"/>
      <c r="D18" s="35">
        <v>1729.34</v>
      </c>
      <c r="E18" s="1">
        <v>552.55999999999995</v>
      </c>
      <c r="F18" s="1">
        <f t="shared" si="0"/>
        <v>2281.8999999999996</v>
      </c>
      <c r="G18" s="1">
        <v>2500</v>
      </c>
      <c r="H18" s="1">
        <v>2022.63</v>
      </c>
      <c r="I18" s="1">
        <v>2717.89</v>
      </c>
      <c r="J18" s="12">
        <f t="shared" si="1"/>
        <v>1</v>
      </c>
    </row>
    <row r="19" spans="1:10">
      <c r="A19" s="11" t="s">
        <v>202</v>
      </c>
      <c r="B19" s="65">
        <v>35</v>
      </c>
      <c r="C19" s="52"/>
      <c r="D19" s="35">
        <v>8.33</v>
      </c>
      <c r="E19" s="1">
        <v>0</v>
      </c>
      <c r="F19" s="1">
        <f t="shared" si="0"/>
        <v>8.33</v>
      </c>
      <c r="G19" s="1">
        <v>50</v>
      </c>
      <c r="H19" s="1">
        <v>12.69</v>
      </c>
      <c r="I19" s="1">
        <v>26.73</v>
      </c>
      <c r="J19" s="12">
        <f t="shared" si="1"/>
        <v>0.7</v>
      </c>
    </row>
    <row r="20" spans="1:10">
      <c r="A20" s="11" t="s">
        <v>203</v>
      </c>
      <c r="B20" s="65">
        <v>2600</v>
      </c>
      <c r="C20" s="52"/>
      <c r="D20" s="35">
        <v>1157.57</v>
      </c>
      <c r="E20" s="1">
        <v>1194.56</v>
      </c>
      <c r="F20" s="1">
        <f t="shared" si="0"/>
        <v>2352.13</v>
      </c>
      <c r="G20" s="1">
        <v>2500</v>
      </c>
      <c r="H20" s="1">
        <v>2392.38</v>
      </c>
      <c r="I20" s="1">
        <v>2578.89</v>
      </c>
      <c r="J20" s="12">
        <f t="shared" si="1"/>
        <v>1.04</v>
      </c>
    </row>
    <row r="21" spans="1:10">
      <c r="A21" s="11" t="s">
        <v>204</v>
      </c>
      <c r="B21" s="65">
        <v>750</v>
      </c>
      <c r="C21" s="52"/>
      <c r="D21" s="35">
        <v>412.2</v>
      </c>
      <c r="E21" s="1">
        <v>151.76</v>
      </c>
      <c r="F21" s="1">
        <f t="shared" si="0"/>
        <v>563.96</v>
      </c>
      <c r="G21" s="1">
        <v>750</v>
      </c>
      <c r="H21" s="1">
        <v>430.68</v>
      </c>
      <c r="I21" s="1">
        <v>762.35</v>
      </c>
      <c r="J21" s="12">
        <f t="shared" si="1"/>
        <v>1</v>
      </c>
    </row>
    <row r="22" spans="1:10">
      <c r="A22" s="11" t="s">
        <v>205</v>
      </c>
      <c r="B22" s="65">
        <v>5700</v>
      </c>
      <c r="C22" s="52"/>
      <c r="D22" s="35">
        <v>3634</v>
      </c>
      <c r="E22" s="1">
        <v>1766.5</v>
      </c>
      <c r="F22" s="1">
        <f t="shared" si="0"/>
        <v>5400.5</v>
      </c>
      <c r="G22" s="1">
        <v>5500</v>
      </c>
      <c r="H22" s="1">
        <v>5198.5</v>
      </c>
      <c r="I22" s="1">
        <v>5372.17</v>
      </c>
      <c r="J22" s="12">
        <f t="shared" si="1"/>
        <v>1.0363636363636364</v>
      </c>
    </row>
    <row r="23" spans="1:10">
      <c r="A23" s="11" t="s">
        <v>206</v>
      </c>
      <c r="B23" s="65">
        <v>1500</v>
      </c>
      <c r="C23" s="52"/>
      <c r="D23" s="35">
        <v>1685.66</v>
      </c>
      <c r="E23" s="1">
        <v>646.35</v>
      </c>
      <c r="F23" s="1">
        <f t="shared" si="0"/>
        <v>2332.0100000000002</v>
      </c>
      <c r="G23" s="1">
        <v>1500</v>
      </c>
      <c r="H23" s="1">
        <v>1005.54</v>
      </c>
      <c r="I23" s="1">
        <v>4438.8999999999996</v>
      </c>
      <c r="J23" s="12">
        <f t="shared" si="1"/>
        <v>1</v>
      </c>
    </row>
    <row r="24" spans="1:10">
      <c r="A24" s="11" t="s">
        <v>207</v>
      </c>
      <c r="B24" s="65">
        <v>100</v>
      </c>
      <c r="C24" s="52"/>
      <c r="D24" s="35">
        <v>40</v>
      </c>
      <c r="E24" s="1">
        <v>0</v>
      </c>
      <c r="F24" s="1">
        <f t="shared" si="0"/>
        <v>40</v>
      </c>
      <c r="G24" s="1">
        <v>250</v>
      </c>
      <c r="J24" s="12">
        <f t="shared" si="1"/>
        <v>0.4</v>
      </c>
    </row>
    <row r="25" spans="1:10">
      <c r="A25" s="11" t="s">
        <v>208</v>
      </c>
      <c r="B25" s="65">
        <v>22000</v>
      </c>
      <c r="C25" s="52"/>
      <c r="D25" s="35">
        <v>14401.44</v>
      </c>
      <c r="E25" s="1">
        <v>6960.76</v>
      </c>
      <c r="F25" s="1">
        <f t="shared" si="0"/>
        <v>21362.2</v>
      </c>
      <c r="G25" s="1">
        <v>21602</v>
      </c>
      <c r="H25" s="1">
        <v>20882.28</v>
      </c>
      <c r="I25" s="1">
        <v>23261.55</v>
      </c>
      <c r="J25" s="12">
        <f t="shared" si="1"/>
        <v>1.0184242199796316</v>
      </c>
    </row>
    <row r="26" spans="1:10">
      <c r="A26" s="11" t="s">
        <v>209</v>
      </c>
      <c r="B26" s="65">
        <v>360</v>
      </c>
      <c r="C26" s="52"/>
      <c r="D26" s="35">
        <v>270</v>
      </c>
      <c r="E26" s="1">
        <v>72.150000000000006</v>
      </c>
      <c r="F26" s="1">
        <f t="shared" si="0"/>
        <v>342.15</v>
      </c>
      <c r="G26" s="1">
        <v>360</v>
      </c>
      <c r="H26" s="1">
        <v>312.14999999999998</v>
      </c>
      <c r="I26" s="1">
        <v>162.15</v>
      </c>
      <c r="J26" s="12">
        <f t="shared" si="1"/>
        <v>1</v>
      </c>
    </row>
    <row r="27" spans="1:10">
      <c r="A27" s="11" t="s">
        <v>210</v>
      </c>
      <c r="B27" s="65">
        <v>750</v>
      </c>
      <c r="C27" s="52"/>
      <c r="D27" s="35">
        <v>779.54</v>
      </c>
      <c r="E27" s="1">
        <v>313.66000000000003</v>
      </c>
      <c r="F27" s="1">
        <f t="shared" si="0"/>
        <v>1093.2</v>
      </c>
      <c r="G27" s="1">
        <v>984</v>
      </c>
      <c r="H27" s="1">
        <v>771.51</v>
      </c>
      <c r="I27" s="1">
        <v>897.98</v>
      </c>
      <c r="J27" s="12">
        <f t="shared" si="1"/>
        <v>0.76219512195121952</v>
      </c>
    </row>
    <row r="28" spans="1:10">
      <c r="A28" s="11" t="s">
        <v>211</v>
      </c>
      <c r="B28" s="65">
        <v>19500</v>
      </c>
      <c r="C28" s="1"/>
      <c r="D28" s="35">
        <v>12477.31</v>
      </c>
      <c r="E28" s="1">
        <v>6541.83</v>
      </c>
      <c r="F28" s="1">
        <f t="shared" si="0"/>
        <v>19019.14</v>
      </c>
      <c r="G28" s="1">
        <v>19500</v>
      </c>
      <c r="H28" s="1">
        <v>18863.27</v>
      </c>
      <c r="I28" s="1">
        <v>19285.09</v>
      </c>
      <c r="J28" s="12">
        <f t="shared" si="1"/>
        <v>1</v>
      </c>
    </row>
    <row r="29" spans="1:10">
      <c r="A29" s="11" t="s">
        <v>212</v>
      </c>
      <c r="B29" s="65">
        <v>3000</v>
      </c>
      <c r="C29" s="1"/>
      <c r="D29" s="35">
        <v>1263.8</v>
      </c>
      <c r="E29" s="1">
        <v>1560.22</v>
      </c>
      <c r="F29" s="1">
        <f t="shared" si="0"/>
        <v>2824.02</v>
      </c>
      <c r="G29" s="1">
        <v>3200</v>
      </c>
      <c r="H29" s="1">
        <v>5723.79</v>
      </c>
      <c r="I29" s="1">
        <v>2750.2</v>
      </c>
      <c r="J29" s="12">
        <f t="shared" si="1"/>
        <v>0.9375</v>
      </c>
    </row>
    <row r="30" spans="1:10">
      <c r="A30" s="11" t="s">
        <v>213</v>
      </c>
      <c r="B30" s="65">
        <v>13000</v>
      </c>
      <c r="C30" s="1"/>
      <c r="D30" s="35">
        <v>6176.58</v>
      </c>
      <c r="E30" s="1">
        <v>6288.45</v>
      </c>
      <c r="F30" s="1">
        <f t="shared" si="0"/>
        <v>12465.029999999999</v>
      </c>
      <c r="G30" s="1">
        <v>12000</v>
      </c>
      <c r="H30" s="1">
        <v>11083.05</v>
      </c>
      <c r="I30" s="1">
        <v>10833.35</v>
      </c>
      <c r="J30" s="12">
        <f t="shared" si="1"/>
        <v>1.0833333333333333</v>
      </c>
    </row>
    <row r="31" spans="1:10">
      <c r="A31" s="11" t="s">
        <v>214</v>
      </c>
      <c r="B31" s="65">
        <v>150</v>
      </c>
      <c r="C31" s="1"/>
      <c r="D31" s="35"/>
      <c r="E31" s="1">
        <v>0</v>
      </c>
      <c r="F31" s="1">
        <f t="shared" si="0"/>
        <v>0</v>
      </c>
      <c r="G31" s="1">
        <v>250</v>
      </c>
      <c r="H31" s="1">
        <v>126</v>
      </c>
      <c r="I31" s="1">
        <v>108</v>
      </c>
      <c r="J31" s="12">
        <f t="shared" si="1"/>
        <v>0.6</v>
      </c>
    </row>
    <row r="32" spans="1:10">
      <c r="A32" s="11" t="s">
        <v>215</v>
      </c>
      <c r="B32" s="65">
        <v>750</v>
      </c>
      <c r="C32" s="1"/>
      <c r="D32" s="35">
        <v>130</v>
      </c>
      <c r="E32" s="1">
        <v>405</v>
      </c>
      <c r="F32" s="1">
        <f t="shared" si="0"/>
        <v>535</v>
      </c>
      <c r="G32" s="1">
        <v>1000</v>
      </c>
      <c r="H32" s="1">
        <v>430</v>
      </c>
      <c r="I32" s="1">
        <v>590</v>
      </c>
      <c r="J32" s="12">
        <f t="shared" si="1"/>
        <v>0.75</v>
      </c>
    </row>
    <row r="33" spans="1:11">
      <c r="A33" s="11" t="s">
        <v>216</v>
      </c>
      <c r="B33" s="65">
        <v>520000</v>
      </c>
      <c r="C33" s="1"/>
      <c r="D33" s="35">
        <v>351778.59</v>
      </c>
      <c r="E33" s="1">
        <v>154965.4</v>
      </c>
      <c r="F33" s="1">
        <f t="shared" si="0"/>
        <v>506743.99</v>
      </c>
      <c r="G33" s="1">
        <v>525000</v>
      </c>
      <c r="H33" s="1">
        <v>489181.25</v>
      </c>
      <c r="I33" s="1">
        <v>479536.34</v>
      </c>
      <c r="J33" s="12">
        <f t="shared" si="1"/>
        <v>0.99047619047619051</v>
      </c>
    </row>
    <row r="34" spans="1:11">
      <c r="A34" s="11" t="s">
        <v>217</v>
      </c>
      <c r="B34" s="65">
        <v>48139</v>
      </c>
      <c r="C34" s="1"/>
      <c r="D34" s="35">
        <v>30772.639999999999</v>
      </c>
      <c r="E34" s="1">
        <v>16238.28</v>
      </c>
      <c r="F34" s="1">
        <f t="shared" si="0"/>
        <v>47010.92</v>
      </c>
      <c r="G34" s="1">
        <v>47000</v>
      </c>
      <c r="H34" s="1">
        <v>46112.15</v>
      </c>
      <c r="I34" s="1">
        <v>45727.68</v>
      </c>
      <c r="J34" s="12">
        <f t="shared" si="1"/>
        <v>1.0242340425531915</v>
      </c>
    </row>
    <row r="35" spans="1:11">
      <c r="A35" s="11" t="s">
        <v>218</v>
      </c>
      <c r="B35" s="65">
        <v>3540</v>
      </c>
      <c r="C35" s="1"/>
      <c r="D35" s="35">
        <v>2502.0500000000002</v>
      </c>
      <c r="E35" s="1">
        <v>952.81</v>
      </c>
      <c r="F35" s="1">
        <f t="shared" si="0"/>
        <v>3454.86</v>
      </c>
      <c r="G35" s="1">
        <v>500</v>
      </c>
      <c r="H35" s="1">
        <v>2314.88</v>
      </c>
      <c r="J35" s="12">
        <f t="shared" si="1"/>
        <v>7.08</v>
      </c>
    </row>
    <row r="36" spans="1:11">
      <c r="A36" s="11" t="s">
        <v>219</v>
      </c>
      <c r="B36" s="65">
        <v>0</v>
      </c>
      <c r="C36" s="1"/>
      <c r="E36" s="1">
        <v>153.03</v>
      </c>
      <c r="F36" s="1">
        <f t="shared" si="0"/>
        <v>153.03</v>
      </c>
      <c r="H36" s="1">
        <v>133.03</v>
      </c>
      <c r="J36" s="12"/>
    </row>
    <row r="37" spans="1:11">
      <c r="A37" s="11" t="s">
        <v>220</v>
      </c>
      <c r="B37" s="65">
        <v>0</v>
      </c>
      <c r="C37" s="1"/>
      <c r="E37" s="1">
        <v>2282.71</v>
      </c>
      <c r="F37" s="1">
        <f t="shared" si="0"/>
        <v>2282.71</v>
      </c>
      <c r="H37" s="1">
        <v>2282.71</v>
      </c>
      <c r="J37" s="12"/>
    </row>
    <row r="38" spans="1:11">
      <c r="A38" s="11" t="s">
        <v>221</v>
      </c>
      <c r="B38" s="88">
        <v>9800</v>
      </c>
      <c r="C38" s="52"/>
      <c r="D38" s="35">
        <v>5648.06</v>
      </c>
      <c r="E38" s="1">
        <v>6543.15</v>
      </c>
      <c r="F38" s="1">
        <f t="shared" si="0"/>
        <v>12191.21</v>
      </c>
      <c r="G38" s="1">
        <v>8270</v>
      </c>
      <c r="H38" s="1">
        <v>11441.12</v>
      </c>
      <c r="I38" s="1">
        <v>9528.34</v>
      </c>
      <c r="J38" s="12">
        <f t="shared" si="1"/>
        <v>1.185006045949214</v>
      </c>
    </row>
    <row r="39" spans="1:11">
      <c r="B39" s="66" t="s">
        <v>21</v>
      </c>
      <c r="C39" s="53"/>
      <c r="D39" s="13" t="s">
        <v>21</v>
      </c>
      <c r="E39" s="13"/>
      <c r="F39" s="13" t="s">
        <v>21</v>
      </c>
      <c r="G39" s="13" t="s">
        <v>21</v>
      </c>
      <c r="H39" s="13" t="s">
        <v>21</v>
      </c>
      <c r="I39" s="13" t="s">
        <v>21</v>
      </c>
      <c r="J39" s="13" t="s">
        <v>21</v>
      </c>
    </row>
    <row r="40" spans="1:11">
      <c r="A40" s="11" t="s">
        <v>22</v>
      </c>
      <c r="B40" s="67">
        <f>SUM(B11:B38)</f>
        <v>12626</v>
      </c>
      <c r="C40" s="54"/>
      <c r="D40" s="1">
        <f>SUM(D11:D38)</f>
        <v>7793.6500000000815</v>
      </c>
      <c r="E40" s="1">
        <f>SUM(E11:E38)</f>
        <v>6280.9500000000307</v>
      </c>
      <c r="F40" s="1">
        <f>SUM(F11:F38)</f>
        <v>14074.599999999993</v>
      </c>
      <c r="G40" s="1">
        <v>1193</v>
      </c>
      <c r="H40" s="1">
        <v>25066.140000000101</v>
      </c>
      <c r="I40" s="1">
        <v>12098.99</v>
      </c>
      <c r="J40" s="12">
        <f t="shared" si="1"/>
        <v>10.583403185247276</v>
      </c>
      <c r="K40" s="11"/>
    </row>
    <row r="41" spans="1:11">
      <c r="B41" s="13" t="s">
        <v>21</v>
      </c>
      <c r="C41" s="53"/>
      <c r="D41" s="13" t="s">
        <v>21</v>
      </c>
      <c r="E41" s="13"/>
      <c r="F41" s="13" t="s">
        <v>21</v>
      </c>
      <c r="G41" s="13" t="s">
        <v>21</v>
      </c>
      <c r="H41" s="13" t="s">
        <v>21</v>
      </c>
      <c r="I41" s="13" t="s">
        <v>21</v>
      </c>
      <c r="J41" s="13" t="s">
        <v>21</v>
      </c>
    </row>
    <row r="42" spans="1:11">
      <c r="B42" s="60"/>
      <c r="C42" s="51"/>
    </row>
    <row r="43" spans="1:11">
      <c r="A43" s="62" t="s">
        <v>811</v>
      </c>
      <c r="B43" s="64"/>
      <c r="C43" s="14"/>
    </row>
    <row r="44" spans="1:11">
      <c r="B44" s="60"/>
      <c r="C44" s="14"/>
    </row>
    <row r="45" spans="1:11">
      <c r="B45" s="60"/>
      <c r="C45" s="14"/>
    </row>
    <row r="46" spans="1:11">
      <c r="B46" s="60"/>
      <c r="C46" s="14"/>
    </row>
    <row r="47" spans="1:11">
      <c r="B47" s="60"/>
    </row>
    <row r="48" spans="1:11">
      <c r="B48" s="60"/>
    </row>
  </sheetData>
  <mergeCells count="3">
    <mergeCell ref="A1:J1"/>
    <mergeCell ref="A3:J3"/>
    <mergeCell ref="A2:J2"/>
  </mergeCells>
  <phoneticPr fontId="0" type="noConversion"/>
  <pageMargins left="0.75" right="0.75" top="0.75" bottom="0.75"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2</vt:i4>
      </vt:variant>
    </vt:vector>
  </HeadingPairs>
  <TitlesOfParts>
    <vt:vector size="47" baseType="lpstr">
      <vt:lpstr>MSU INC. - Acct Detail</vt:lpstr>
      <vt:lpstr>ADMINISTRATION - Acct Detail</vt:lpstr>
      <vt:lpstr>SCHEDULE A - Acct Detail</vt:lpstr>
      <vt:lpstr>UNION MARKET - Acct Detail</vt:lpstr>
      <vt:lpstr>UNDERGROUND - Acct Detail</vt:lpstr>
      <vt:lpstr>1280 - Acct Detail</vt:lpstr>
      <vt:lpstr>RENTAL INC - Acct Detail</vt:lpstr>
      <vt:lpstr>SCHEDULE B - Acct Detail</vt:lpstr>
      <vt:lpstr>CHILD CARE - Acct Detail</vt:lpstr>
      <vt:lpstr>SCHEDULE C - Acct Detail</vt:lpstr>
      <vt:lpstr>EFRT - Acct Detail</vt:lpstr>
      <vt:lpstr>MACCYCLE - Acct Detail</vt:lpstr>
      <vt:lpstr>SHEC - Acct Detail</vt:lpstr>
      <vt:lpstr>SWHAT - Acct Detail</vt:lpstr>
      <vt:lpstr>QSCC - Acct Detail</vt:lpstr>
      <vt:lpstr>MAROONS - Acct Detail</vt:lpstr>
      <vt:lpstr>CLAY - Acct Detail</vt:lpstr>
      <vt:lpstr>FIT - Acct Detail</vt:lpstr>
      <vt:lpstr>HORIZONS - Acct Detail</vt:lpstr>
      <vt:lpstr>SPARK - Acct Detail</vt:lpstr>
      <vt:lpstr>CLUBS - Acct Detail</vt:lpstr>
      <vt:lpstr>ELECTIONS - Acct Detail</vt:lpstr>
      <vt:lpstr>MACGREEN - Acct Detail</vt:lpstr>
      <vt:lpstr>EXECUTIVE - Acct Detail</vt:lpstr>
      <vt:lpstr>SCSN - Acct Detail</vt:lpstr>
      <vt:lpstr>WGEN - Acct Detail</vt:lpstr>
      <vt:lpstr>PUBLIC RELNS - Acct Detail</vt:lpstr>
      <vt:lpstr>TEACHING AWARDS - Acct Detail</vt:lpstr>
      <vt:lpstr>PEER SUPPORT - Acct Detail</vt:lpstr>
      <vt:lpstr>DIVERSITY - Acct Detail</vt:lpstr>
      <vt:lpstr>BREAD BIN - Acct Detail</vt:lpstr>
      <vt:lpstr>FYC - Acct Detail</vt:lpstr>
      <vt:lpstr>SCHEDULE D - Acct Detail</vt:lpstr>
      <vt:lpstr>COMPASS - Acct Detail</vt:lpstr>
      <vt:lpstr>OMBUDS - Acct Detail</vt:lpstr>
      <vt:lpstr>CAMPUS EVENTS - Acct Detail</vt:lpstr>
      <vt:lpstr>SILHOUETTE - Acct Detail</vt:lpstr>
      <vt:lpstr>CFMU GENERAL - Acct Detail</vt:lpstr>
      <vt:lpstr>MARMOR CURRENT - Acct Detail</vt:lpstr>
      <vt:lpstr>STU. HEALTH PLAN - Acct Detail</vt:lpstr>
      <vt:lpstr>SHP 2014-15 - Acct Detail</vt:lpstr>
      <vt:lpstr>SHP-INVEST - Acct Detail</vt:lpstr>
      <vt:lpstr>DENTAL PLAN - Acct Detail</vt:lpstr>
      <vt:lpstr>DENTAL CURRENT - Acct Detail</vt:lpstr>
      <vt:lpstr>UNI CENTRE - Acct Detail</vt:lpstr>
      <vt:lpstr>'BREAD BIN - Acct Detail'!Print_Area</vt:lpstr>
      <vt:lpstr>'MSU INC. - Acct Detail'!Print_Area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comptroller</dc:creator>
  <cp:lastModifiedBy>comptroller</cp:lastModifiedBy>
  <cp:lastPrinted>2015-04-22T18:12:16Z</cp:lastPrinted>
  <dcterms:created xsi:type="dcterms:W3CDTF">2014-10-29T20:52:08Z</dcterms:created>
  <dcterms:modified xsi:type="dcterms:W3CDTF">2015-09-30T13:26:44Z</dcterms:modified>
</cp:coreProperties>
</file>